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ThisWorkbook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4240" windowHeight="11250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4" l="1"/>
  <c r="G48" i="6" l="1"/>
  <c r="D48" i="6"/>
  <c r="E48" i="6"/>
  <c r="F48" i="6"/>
  <c r="C48" i="6"/>
  <c r="G73" i="5" l="1"/>
  <c r="D73" i="5"/>
  <c r="G68" i="5"/>
  <c r="G15" i="5"/>
  <c r="D15" i="5"/>
  <c r="G14" i="5"/>
  <c r="D14" i="5"/>
  <c r="G13" i="5"/>
  <c r="D13" i="5"/>
  <c r="D31" i="9" l="1"/>
  <c r="G31" i="9" s="1"/>
  <c r="D30" i="9"/>
  <c r="G30" i="9" s="1"/>
  <c r="D29" i="9"/>
  <c r="G29" i="9" s="1"/>
  <c r="D26" i="9"/>
  <c r="G26" i="9" s="1"/>
  <c r="D25" i="9"/>
  <c r="G25" i="9" s="1"/>
  <c r="D23" i="9"/>
  <c r="G23" i="9" s="1"/>
  <c r="D19" i="9"/>
  <c r="G19" i="9" s="1"/>
  <c r="D18" i="9"/>
  <c r="G18" i="9" s="1"/>
  <c r="D17" i="9"/>
  <c r="G17" i="9" s="1"/>
  <c r="D15" i="9"/>
  <c r="G15" i="9" s="1"/>
  <c r="D14" i="9"/>
  <c r="G14" i="9" s="1"/>
  <c r="D13" i="9"/>
  <c r="G13" i="9" s="1"/>
  <c r="D11" i="9"/>
  <c r="G11" i="9" s="1"/>
  <c r="D75" i="8"/>
  <c r="G75" i="8" s="1"/>
  <c r="D74" i="8"/>
  <c r="G74" i="8" s="1"/>
  <c r="D73" i="8"/>
  <c r="G73" i="8" s="1"/>
  <c r="D72" i="8"/>
  <c r="G72" i="8" s="1"/>
  <c r="G70" i="8"/>
  <c r="D70" i="8"/>
  <c r="G69" i="8"/>
  <c r="D69" i="8"/>
  <c r="G68" i="8"/>
  <c r="D68" i="8"/>
  <c r="G67" i="8"/>
  <c r="D67" i="8"/>
  <c r="G66" i="8"/>
  <c r="D66" i="8"/>
  <c r="G65" i="8"/>
  <c r="D65" i="8"/>
  <c r="G64" i="8"/>
  <c r="D64" i="8"/>
  <c r="G63" i="8"/>
  <c r="D63" i="8"/>
  <c r="G62" i="8"/>
  <c r="D62" i="8"/>
  <c r="G60" i="8"/>
  <c r="D60" i="8"/>
  <c r="G59" i="8"/>
  <c r="D59" i="8"/>
  <c r="G58" i="8"/>
  <c r="D58" i="8"/>
  <c r="G57" i="8"/>
  <c r="D57" i="8"/>
  <c r="G56" i="8"/>
  <c r="D56" i="8"/>
  <c r="D52" i="8"/>
  <c r="G52" i="8" s="1"/>
  <c r="D51" i="8"/>
  <c r="G51" i="8" s="1"/>
  <c r="D50" i="8"/>
  <c r="G50" i="8" s="1"/>
  <c r="D49" i="8"/>
  <c r="G49" i="8" s="1"/>
  <c r="D48" i="8"/>
  <c r="G48" i="8" s="1"/>
  <c r="D47" i="8"/>
  <c r="G47" i="8" s="1"/>
  <c r="D46" i="8"/>
  <c r="G46" i="8" s="1"/>
  <c r="D45" i="8"/>
  <c r="G45" i="8" s="1"/>
  <c r="D41" i="8"/>
  <c r="G41" i="8" s="1"/>
  <c r="D40" i="8"/>
  <c r="G40" i="8" s="1"/>
  <c r="D39" i="8"/>
  <c r="G39" i="8" s="1"/>
  <c r="D38" i="8"/>
  <c r="G38" i="8" s="1"/>
  <c r="D36" i="8"/>
  <c r="G36" i="8" s="1"/>
  <c r="D35" i="8"/>
  <c r="G35" i="8" s="1"/>
  <c r="D34" i="8"/>
  <c r="G34" i="8" s="1"/>
  <c r="D33" i="8"/>
  <c r="G33" i="8" s="1"/>
  <c r="D32" i="8"/>
  <c r="G32" i="8" s="1"/>
  <c r="D31" i="8"/>
  <c r="G31" i="8" s="1"/>
  <c r="D30" i="8"/>
  <c r="G30" i="8" s="1"/>
  <c r="D29" i="8"/>
  <c r="G29" i="8" s="1"/>
  <c r="D28" i="8"/>
  <c r="G28" i="8" s="1"/>
  <c r="D26" i="8"/>
  <c r="G26" i="8" s="1"/>
  <c r="D25" i="8"/>
  <c r="G25" i="8" s="1"/>
  <c r="D24" i="8"/>
  <c r="G24" i="8" s="1"/>
  <c r="D23" i="8"/>
  <c r="G23" i="8" s="1"/>
  <c r="D22" i="8"/>
  <c r="G22" i="8" s="1"/>
  <c r="D18" i="8"/>
  <c r="G18" i="8" s="1"/>
  <c r="D17" i="8"/>
  <c r="G17" i="8" s="1"/>
  <c r="D16" i="8"/>
  <c r="G16" i="8" s="1"/>
  <c r="D15" i="8"/>
  <c r="G15" i="8" s="1"/>
  <c r="D14" i="8"/>
  <c r="G14" i="8" s="1"/>
  <c r="D13" i="8"/>
  <c r="G13" i="8" s="1"/>
  <c r="D12" i="8"/>
  <c r="G12" i="8" s="1"/>
  <c r="D11" i="8"/>
  <c r="G11" i="8" s="1"/>
  <c r="G27" i="7"/>
  <c r="D27" i="7"/>
  <c r="G26" i="7"/>
  <c r="D26" i="7"/>
  <c r="G25" i="7"/>
  <c r="D25" i="7"/>
  <c r="G24" i="7"/>
  <c r="D24" i="7"/>
  <c r="G23" i="7"/>
  <c r="D23" i="7"/>
  <c r="G22" i="7"/>
  <c r="D22" i="7"/>
  <c r="G21" i="7"/>
  <c r="D21" i="7"/>
  <c r="D17" i="7"/>
  <c r="G17" i="7" s="1"/>
  <c r="D16" i="7"/>
  <c r="G16" i="7" s="1"/>
  <c r="D15" i="7"/>
  <c r="G15" i="7" s="1"/>
  <c r="D14" i="7"/>
  <c r="G14" i="7" s="1"/>
  <c r="D13" i="7"/>
  <c r="G13" i="7" s="1"/>
  <c r="D12" i="7"/>
  <c r="G12" i="7" s="1"/>
  <c r="D157" i="6"/>
  <c r="G157" i="6" s="1"/>
  <c r="D156" i="6"/>
  <c r="G156" i="6" s="1"/>
  <c r="D155" i="6"/>
  <c r="G155" i="6" s="1"/>
  <c r="D154" i="6"/>
  <c r="G154" i="6" s="1"/>
  <c r="D153" i="6"/>
  <c r="G153" i="6" s="1"/>
  <c r="D152" i="6"/>
  <c r="G152" i="6" s="1"/>
  <c r="D151" i="6"/>
  <c r="G151" i="6" s="1"/>
  <c r="D149" i="6"/>
  <c r="G149" i="6" s="1"/>
  <c r="D148" i="6"/>
  <c r="G148" i="6" s="1"/>
  <c r="D147" i="6"/>
  <c r="G147" i="6" s="1"/>
  <c r="D145" i="6"/>
  <c r="G145" i="6" s="1"/>
  <c r="D144" i="6"/>
  <c r="G144" i="6" s="1"/>
  <c r="D143" i="6"/>
  <c r="G143" i="6" s="1"/>
  <c r="D142" i="6"/>
  <c r="G142" i="6" s="1"/>
  <c r="D141" i="6"/>
  <c r="G141" i="6" s="1"/>
  <c r="D140" i="6"/>
  <c r="G140" i="6" s="1"/>
  <c r="D139" i="6"/>
  <c r="G139" i="6" s="1"/>
  <c r="D138" i="6"/>
  <c r="G138" i="6" s="1"/>
  <c r="D136" i="6"/>
  <c r="G136" i="6" s="1"/>
  <c r="D132" i="6"/>
  <c r="G132" i="6" s="1"/>
  <c r="D131" i="6"/>
  <c r="G131" i="6" s="1"/>
  <c r="D130" i="6"/>
  <c r="G130" i="6" s="1"/>
  <c r="D129" i="6"/>
  <c r="G129" i="6" s="1"/>
  <c r="D128" i="6"/>
  <c r="G128" i="6" s="1"/>
  <c r="D127" i="6"/>
  <c r="G127" i="6" s="1"/>
  <c r="D126" i="6"/>
  <c r="G126" i="6" s="1"/>
  <c r="D125" i="6"/>
  <c r="G125" i="6" s="1"/>
  <c r="D124" i="6"/>
  <c r="G124" i="6" s="1"/>
  <c r="D122" i="6"/>
  <c r="G122" i="6" s="1"/>
  <c r="D121" i="6"/>
  <c r="G121" i="6" s="1"/>
  <c r="D120" i="6"/>
  <c r="G120" i="6" s="1"/>
  <c r="D119" i="6"/>
  <c r="G119" i="6" s="1"/>
  <c r="D118" i="6"/>
  <c r="G118" i="6" s="1"/>
  <c r="D117" i="6"/>
  <c r="G117" i="6" s="1"/>
  <c r="D116" i="6"/>
  <c r="G116" i="6" s="1"/>
  <c r="D115" i="6"/>
  <c r="G115" i="6" s="1"/>
  <c r="D114" i="6"/>
  <c r="G114" i="6" s="1"/>
  <c r="D112" i="6"/>
  <c r="G112" i="6" s="1"/>
  <c r="D111" i="6"/>
  <c r="G111" i="6" s="1"/>
  <c r="D110" i="6"/>
  <c r="G110" i="6" s="1"/>
  <c r="D109" i="6"/>
  <c r="G109" i="6" s="1"/>
  <c r="D108" i="6"/>
  <c r="G108" i="6" s="1"/>
  <c r="D107" i="6"/>
  <c r="G107" i="6" s="1"/>
  <c r="D106" i="6"/>
  <c r="G106" i="6" s="1"/>
  <c r="D105" i="6"/>
  <c r="G105" i="6" s="1"/>
  <c r="D104" i="6"/>
  <c r="G104" i="6" s="1"/>
  <c r="D102" i="6"/>
  <c r="G102" i="6" s="1"/>
  <c r="D101" i="6"/>
  <c r="G101" i="6" s="1"/>
  <c r="D100" i="6"/>
  <c r="G100" i="6" s="1"/>
  <c r="D99" i="6"/>
  <c r="G99" i="6" s="1"/>
  <c r="D98" i="6"/>
  <c r="G98" i="6" s="1"/>
  <c r="D97" i="6"/>
  <c r="G97" i="6" s="1"/>
  <c r="D96" i="6"/>
  <c r="G96" i="6" s="1"/>
  <c r="D95" i="6"/>
  <c r="G95" i="6" s="1"/>
  <c r="D94" i="6"/>
  <c r="G94" i="6" s="1"/>
  <c r="D82" i="6"/>
  <c r="G82" i="6" s="1"/>
  <c r="D81" i="6"/>
  <c r="G81" i="6" s="1"/>
  <c r="D80" i="6"/>
  <c r="G80" i="6" s="1"/>
  <c r="D79" i="6"/>
  <c r="G79" i="6" s="1"/>
  <c r="D78" i="6"/>
  <c r="G78" i="6" s="1"/>
  <c r="D77" i="6"/>
  <c r="G77" i="6" s="1"/>
  <c r="D76" i="6"/>
  <c r="G76" i="6" s="1"/>
  <c r="D39" i="6"/>
  <c r="G39" i="6" s="1"/>
  <c r="G61" i="5" l="1"/>
  <c r="D61" i="5"/>
  <c r="G60" i="5"/>
  <c r="D60" i="5"/>
  <c r="G58" i="5"/>
  <c r="D58" i="5"/>
  <c r="G57" i="5"/>
  <c r="D57" i="5"/>
  <c r="G56" i="5"/>
  <c r="D56" i="5"/>
  <c r="G55" i="5"/>
  <c r="D55" i="5"/>
  <c r="F19" i="1" l="1"/>
  <c r="E19" i="1"/>
  <c r="G137" i="6" l="1"/>
  <c r="C137" i="6"/>
  <c r="D137" i="6"/>
  <c r="E137" i="6"/>
  <c r="F137" i="6"/>
  <c r="B137" i="6"/>
  <c r="C62" i="6"/>
  <c r="D62" i="6"/>
  <c r="E62" i="6"/>
  <c r="F62" i="6"/>
  <c r="G62" i="6"/>
  <c r="B62" i="6"/>
  <c r="B8" i="10"/>
  <c r="C6" i="23"/>
  <c r="C7" i="23" s="1"/>
  <c r="B9" i="1"/>
  <c r="H25" i="23"/>
  <c r="G25" i="23"/>
  <c r="E5" i="13" s="1"/>
  <c r="F25" i="23"/>
  <c r="E25" i="23"/>
  <c r="C5" i="13" s="1"/>
  <c r="D25" i="23"/>
  <c r="G28" i="9"/>
  <c r="U20" i="27" s="1"/>
  <c r="U4" i="27"/>
  <c r="G71" i="8"/>
  <c r="U63" i="26" s="1"/>
  <c r="U47" i="26"/>
  <c r="U49" i="26"/>
  <c r="U51" i="26"/>
  <c r="G53" i="8"/>
  <c r="U45" i="26" s="1"/>
  <c r="U39" i="26"/>
  <c r="U41" i="26"/>
  <c r="U43" i="26"/>
  <c r="G44" i="8"/>
  <c r="U33" i="26"/>
  <c r="U31" i="26"/>
  <c r="G10" i="8"/>
  <c r="U7" i="26"/>
  <c r="U9" i="26"/>
  <c r="U11" i="26"/>
  <c r="G19" i="8"/>
  <c r="G27" i="8"/>
  <c r="U20" i="26" s="1"/>
  <c r="G37" i="8"/>
  <c r="B10" i="6"/>
  <c r="B18" i="6"/>
  <c r="B28" i="6"/>
  <c r="B38" i="6"/>
  <c r="B58" i="6"/>
  <c r="B71" i="6"/>
  <c r="B75" i="6"/>
  <c r="B7" i="13"/>
  <c r="G18" i="6"/>
  <c r="G10" i="6"/>
  <c r="U4" i="20"/>
  <c r="U6" i="20"/>
  <c r="U8" i="20"/>
  <c r="G16" i="5"/>
  <c r="G28" i="5"/>
  <c r="U22" i="20" s="1"/>
  <c r="U29" i="20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9" i="9"/>
  <c r="Q2" i="27" s="1"/>
  <c r="D9" i="9"/>
  <c r="R2" i="27" s="1"/>
  <c r="E9" i="9"/>
  <c r="S2" i="27" s="1"/>
  <c r="F9" i="9"/>
  <c r="T2" i="27" s="1"/>
  <c r="G12" i="9"/>
  <c r="G16" i="9"/>
  <c r="G9" i="9"/>
  <c r="U2" i="27" s="1"/>
  <c r="Q3" i="27"/>
  <c r="R3" i="27"/>
  <c r="S3" i="27"/>
  <c r="T3" i="27"/>
  <c r="U3" i="27"/>
  <c r="Q4" i="27"/>
  <c r="R4" i="27"/>
  <c r="S4" i="27"/>
  <c r="T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8" i="9"/>
  <c r="C21" i="9"/>
  <c r="Q13" i="27" s="1"/>
  <c r="D28" i="9"/>
  <c r="D21" i="9"/>
  <c r="R13" i="27" s="1"/>
  <c r="E28" i="9"/>
  <c r="E21" i="9"/>
  <c r="S13" i="27" s="1"/>
  <c r="F28" i="9"/>
  <c r="F21" i="9"/>
  <c r="T13" i="27" s="1"/>
  <c r="G24" i="9"/>
  <c r="U16" i="27" s="1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Q21" i="27"/>
  <c r="R21" i="27"/>
  <c r="S21" i="27"/>
  <c r="T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P5" i="27"/>
  <c r="P6" i="27"/>
  <c r="P7" i="27"/>
  <c r="P8" i="27"/>
  <c r="P9" i="27"/>
  <c r="P10" i="27"/>
  <c r="P11" i="27"/>
  <c r="P12" i="27"/>
  <c r="B28" i="9"/>
  <c r="B21" i="9" s="1"/>
  <c r="P13" i="27" s="1"/>
  <c r="P14" i="27"/>
  <c r="P15" i="27"/>
  <c r="P16" i="27"/>
  <c r="P17" i="27"/>
  <c r="P18" i="27"/>
  <c r="P19" i="27"/>
  <c r="P20" i="27"/>
  <c r="P21" i="27"/>
  <c r="P22" i="27"/>
  <c r="P23" i="27"/>
  <c r="B9" i="9"/>
  <c r="P2" i="27" s="1"/>
  <c r="A5" i="27"/>
  <c r="A4" i="27"/>
  <c r="A3" i="27"/>
  <c r="A2" i="27"/>
  <c r="C10" i="8"/>
  <c r="C19" i="8"/>
  <c r="C27" i="8"/>
  <c r="C37" i="8"/>
  <c r="D10" i="8"/>
  <c r="R3" i="26" s="1"/>
  <c r="D19" i="8"/>
  <c r="D27" i="8"/>
  <c r="D37" i="8"/>
  <c r="D9" i="8"/>
  <c r="R2" i="26" s="1"/>
  <c r="E10" i="8"/>
  <c r="E19" i="8"/>
  <c r="E27" i="8"/>
  <c r="S20" i="26" s="1"/>
  <c r="E37" i="8"/>
  <c r="F10" i="8"/>
  <c r="F19" i="8"/>
  <c r="T12" i="26" s="1"/>
  <c r="F27" i="8"/>
  <c r="F37" i="8"/>
  <c r="T30" i="26" s="1"/>
  <c r="Q3" i="26"/>
  <c r="S3" i="26"/>
  <c r="T3" i="26"/>
  <c r="Q4" i="26"/>
  <c r="R4" i="26"/>
  <c r="S4" i="26"/>
  <c r="T4" i="26"/>
  <c r="U4" i="26"/>
  <c r="Q5" i="26"/>
  <c r="R5" i="26"/>
  <c r="S5" i="26"/>
  <c r="T5" i="26"/>
  <c r="Q6" i="26"/>
  <c r="R6" i="26"/>
  <c r="S6" i="26"/>
  <c r="T6" i="26"/>
  <c r="U6" i="26"/>
  <c r="Q7" i="26"/>
  <c r="R7" i="26"/>
  <c r="S7" i="26"/>
  <c r="T7" i="26"/>
  <c r="Q8" i="26"/>
  <c r="R8" i="26"/>
  <c r="S8" i="26"/>
  <c r="T8" i="26"/>
  <c r="U8" i="26"/>
  <c r="Q9" i="26"/>
  <c r="R9" i="26"/>
  <c r="S9" i="26"/>
  <c r="T9" i="26"/>
  <c r="Q10" i="26"/>
  <c r="R10" i="26"/>
  <c r="S10" i="26"/>
  <c r="T10" i="26"/>
  <c r="U10" i="26"/>
  <c r="Q11" i="26"/>
  <c r="R11" i="26"/>
  <c r="S11" i="26"/>
  <c r="T11" i="26"/>
  <c r="Q12" i="26"/>
  <c r="R12" i="26"/>
  <c r="S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T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U30" i="26"/>
  <c r="Q31" i="26"/>
  <c r="R31" i="26"/>
  <c r="S31" i="26"/>
  <c r="T31" i="26"/>
  <c r="Q32" i="26"/>
  <c r="R32" i="26"/>
  <c r="S32" i="26"/>
  <c r="T32" i="26"/>
  <c r="U32" i="26"/>
  <c r="Q33" i="26"/>
  <c r="R33" i="26"/>
  <c r="S33" i="26"/>
  <c r="T33" i="26"/>
  <c r="Q34" i="26"/>
  <c r="R34" i="26"/>
  <c r="S34" i="26"/>
  <c r="T34" i="26"/>
  <c r="U34" i="26"/>
  <c r="C44" i="8"/>
  <c r="Q36" i="26" s="1"/>
  <c r="C53" i="8"/>
  <c r="C61" i="8"/>
  <c r="C71" i="8"/>
  <c r="D44" i="8"/>
  <c r="D53" i="8"/>
  <c r="D61" i="8"/>
  <c r="R53" i="26" s="1"/>
  <c r="D71" i="8"/>
  <c r="R63" i="26" s="1"/>
  <c r="E44" i="8"/>
  <c r="S36" i="26" s="1"/>
  <c r="E53" i="8"/>
  <c r="E61" i="8"/>
  <c r="S53" i="26" s="1"/>
  <c r="E71" i="8"/>
  <c r="F44" i="8"/>
  <c r="F53" i="8"/>
  <c r="T45" i="26" s="1"/>
  <c r="F61" i="8"/>
  <c r="F71" i="8"/>
  <c r="G61" i="8"/>
  <c r="U53" i="26" s="1"/>
  <c r="R36" i="26"/>
  <c r="T36" i="26"/>
  <c r="Q37" i="26"/>
  <c r="R37" i="26"/>
  <c r="S37" i="26"/>
  <c r="T37" i="26"/>
  <c r="Q38" i="26"/>
  <c r="R38" i="26"/>
  <c r="S38" i="26"/>
  <c r="T38" i="26"/>
  <c r="U38" i="26"/>
  <c r="Q39" i="26"/>
  <c r="R39" i="26"/>
  <c r="S39" i="26"/>
  <c r="T39" i="26"/>
  <c r="Q40" i="26"/>
  <c r="R40" i="26"/>
  <c r="S40" i="26"/>
  <c r="T40" i="26"/>
  <c r="U40" i="26"/>
  <c r="Q41" i="26"/>
  <c r="R41" i="26"/>
  <c r="S41" i="26"/>
  <c r="T41" i="26"/>
  <c r="Q42" i="26"/>
  <c r="R42" i="26"/>
  <c r="S42" i="26"/>
  <c r="T42" i="26"/>
  <c r="U42" i="26"/>
  <c r="Q43" i="26"/>
  <c r="R43" i="26"/>
  <c r="S43" i="26"/>
  <c r="T43" i="26"/>
  <c r="Q44" i="26"/>
  <c r="R44" i="26"/>
  <c r="S44" i="26"/>
  <c r="T44" i="26"/>
  <c r="U44" i="26"/>
  <c r="R45" i="26"/>
  <c r="Q46" i="26"/>
  <c r="R46" i="26"/>
  <c r="S46" i="26"/>
  <c r="T46" i="26"/>
  <c r="U46" i="26"/>
  <c r="Q47" i="26"/>
  <c r="R47" i="26"/>
  <c r="S47" i="26"/>
  <c r="T47" i="26"/>
  <c r="Q48" i="26"/>
  <c r="R48" i="26"/>
  <c r="S48" i="26"/>
  <c r="T48" i="26"/>
  <c r="U48" i="26"/>
  <c r="Q49" i="26"/>
  <c r="R49" i="26"/>
  <c r="S49" i="26"/>
  <c r="T49" i="26"/>
  <c r="Q50" i="26"/>
  <c r="R50" i="26"/>
  <c r="S50" i="26"/>
  <c r="T50" i="26"/>
  <c r="U50" i="26"/>
  <c r="Q51" i="26"/>
  <c r="R51" i="26"/>
  <c r="S51" i="26"/>
  <c r="T51" i="26"/>
  <c r="Q52" i="26"/>
  <c r="R52" i="26"/>
  <c r="S52" i="26"/>
  <c r="T52" i="26"/>
  <c r="U52" i="26"/>
  <c r="Q53" i="26"/>
  <c r="T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S63" i="26"/>
  <c r="T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P36" i="26" s="1"/>
  <c r="B53" i="8"/>
  <c r="B61" i="8"/>
  <c r="P53" i="26" s="1"/>
  <c r="B71" i="8"/>
  <c r="B43" i="8"/>
  <c r="P35" i="26" s="1"/>
  <c r="B10" i="8"/>
  <c r="B19" i="8"/>
  <c r="B27" i="8"/>
  <c r="B37" i="8"/>
  <c r="P30" i="26" s="1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U3" i="25" s="1"/>
  <c r="F9" i="7"/>
  <c r="T2" i="25" s="1"/>
  <c r="F19" i="7"/>
  <c r="T3" i="25" s="1"/>
  <c r="E9" i="7"/>
  <c r="S2" i="25" s="1"/>
  <c r="E19" i="7"/>
  <c r="D9" i="7"/>
  <c r="R2" i="25" s="1"/>
  <c r="D19" i="7"/>
  <c r="C9" i="7"/>
  <c r="Q2" i="25" s="1"/>
  <c r="C19" i="7"/>
  <c r="B9" i="7"/>
  <c r="P2" i="25" s="1"/>
  <c r="B19" i="7"/>
  <c r="A3" i="25"/>
  <c r="A4" i="25"/>
  <c r="A2" i="25"/>
  <c r="A87" i="24"/>
  <c r="C85" i="6"/>
  <c r="Q77" i="24" s="1"/>
  <c r="C93" i="6"/>
  <c r="C103" i="6"/>
  <c r="C113" i="6"/>
  <c r="C123" i="6"/>
  <c r="C133" i="6"/>
  <c r="C146" i="6"/>
  <c r="C150" i="6"/>
  <c r="D85" i="6"/>
  <c r="R77" i="24" s="1"/>
  <c r="D93" i="6"/>
  <c r="D103" i="6"/>
  <c r="D113" i="6"/>
  <c r="D123" i="6"/>
  <c r="D133" i="6"/>
  <c r="R125" i="24" s="1"/>
  <c r="D146" i="6"/>
  <c r="D150" i="6"/>
  <c r="E85" i="6"/>
  <c r="E93" i="6"/>
  <c r="E103" i="6"/>
  <c r="E113" i="6"/>
  <c r="E123" i="6"/>
  <c r="E133" i="6"/>
  <c r="S125" i="24" s="1"/>
  <c r="E146" i="6"/>
  <c r="E150" i="6"/>
  <c r="F85" i="6"/>
  <c r="T77" i="24" s="1"/>
  <c r="F93" i="6"/>
  <c r="F103" i="6"/>
  <c r="F113" i="6"/>
  <c r="F123" i="6"/>
  <c r="F133" i="6"/>
  <c r="T125" i="24" s="1"/>
  <c r="F146" i="6"/>
  <c r="F150" i="6"/>
  <c r="G85" i="6"/>
  <c r="U77" i="24" s="1"/>
  <c r="G93" i="6"/>
  <c r="G103" i="6"/>
  <c r="G113" i="6"/>
  <c r="U105" i="24" s="1"/>
  <c r="G123" i="6"/>
  <c r="G133" i="6"/>
  <c r="U125" i="24" s="1"/>
  <c r="G146" i="6"/>
  <c r="G150" i="6"/>
  <c r="U142" i="24" s="1"/>
  <c r="S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Q3" i="24" s="1"/>
  <c r="C18" i="6"/>
  <c r="Q11" i="24" s="1"/>
  <c r="C28" i="6"/>
  <c r="C38" i="6"/>
  <c r="C58" i="6"/>
  <c r="C71" i="6"/>
  <c r="C75" i="6"/>
  <c r="D10" i="6"/>
  <c r="D18" i="6"/>
  <c r="D28" i="6"/>
  <c r="R21" i="24" s="1"/>
  <c r="D38" i="6"/>
  <c r="R41" i="24"/>
  <c r="D58" i="6"/>
  <c r="D71" i="6"/>
  <c r="D75" i="6"/>
  <c r="E10" i="6"/>
  <c r="S3" i="24" s="1"/>
  <c r="E18" i="6"/>
  <c r="S11" i="24" s="1"/>
  <c r="E28" i="6"/>
  <c r="S21" i="24" s="1"/>
  <c r="E38" i="6"/>
  <c r="E58" i="6"/>
  <c r="E71" i="6"/>
  <c r="E75" i="6"/>
  <c r="F10" i="6"/>
  <c r="T3" i="24" s="1"/>
  <c r="F18" i="6"/>
  <c r="F28" i="6"/>
  <c r="T21" i="24" s="1"/>
  <c r="F38" i="6"/>
  <c r="T41" i="24"/>
  <c r="F58" i="6"/>
  <c r="F71" i="6"/>
  <c r="F75" i="6"/>
  <c r="G28" i="6"/>
  <c r="G38" i="6"/>
  <c r="U31" i="24" s="1"/>
  <c r="G58" i="6"/>
  <c r="G71" i="6"/>
  <c r="G75" i="6"/>
  <c r="B85" i="6"/>
  <c r="B93" i="6"/>
  <c r="P85" i="24" s="1"/>
  <c r="B103" i="6"/>
  <c r="B113" i="6"/>
  <c r="B123" i="6"/>
  <c r="P115" i="24" s="1"/>
  <c r="B133" i="6"/>
  <c r="P125" i="24" s="1"/>
  <c r="B146" i="6"/>
  <c r="B150" i="6"/>
  <c r="P142" i="24" s="1"/>
  <c r="P77" i="24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R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R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S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5" i="20"/>
  <c r="U7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3" i="20"/>
  <c r="U24" i="20"/>
  <c r="U25" i="20"/>
  <c r="U26" i="20"/>
  <c r="U27" i="20"/>
  <c r="U28" i="20"/>
  <c r="U30" i="20"/>
  <c r="U31" i="20"/>
  <c r="U32" i="20"/>
  <c r="U33" i="20"/>
  <c r="G45" i="5"/>
  <c r="U37" i="20" s="1"/>
  <c r="U38" i="20"/>
  <c r="U39" i="20"/>
  <c r="U40" i="20"/>
  <c r="U41" i="20"/>
  <c r="U42" i="20"/>
  <c r="U43" i="20"/>
  <c r="U44" i="20"/>
  <c r="U45" i="20"/>
  <c r="G54" i="5"/>
  <c r="U47" i="20"/>
  <c r="U48" i="20"/>
  <c r="U49" i="20"/>
  <c r="G59" i="5"/>
  <c r="U51" i="20" s="1"/>
  <c r="U52" i="20"/>
  <c r="U53" i="20"/>
  <c r="G62" i="5"/>
  <c r="U54" i="20" s="1"/>
  <c r="G63" i="5"/>
  <c r="U55" i="20" s="1"/>
  <c r="G67" i="5"/>
  <c r="U57" i="20" s="1"/>
  <c r="U60" i="20"/>
  <c r="G74" i="5"/>
  <c r="U61" i="20" s="1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/>
  <c r="E16" i="5"/>
  <c r="S10" i="20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C41" i="5"/>
  <c r="Q34" i="20" s="1"/>
  <c r="E41" i="5"/>
  <c r="S34" i="20" s="1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E65" i="5"/>
  <c r="S56" i="20" s="1"/>
  <c r="Q57" i="20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 s="1"/>
  <c r="P61" i="20"/>
  <c r="B75" i="5"/>
  <c r="P62" i="20" s="1"/>
  <c r="P60" i="20"/>
  <c r="P58" i="20"/>
  <c r="B67" i="5"/>
  <c r="P57" i="20" s="1"/>
  <c r="B45" i="5"/>
  <c r="B54" i="5"/>
  <c r="B59" i="5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B16" i="5"/>
  <c r="B28" i="5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D20" i="23"/>
  <c r="B6" i="1" s="1"/>
  <c r="F18" i="23"/>
  <c r="K6" i="3" s="1"/>
  <c r="E18" i="23"/>
  <c r="J6" i="3" s="1"/>
  <c r="D18" i="23"/>
  <c r="I6" i="3" s="1"/>
  <c r="E6" i="1"/>
  <c r="F5" i="13"/>
  <c r="D5" i="13"/>
  <c r="B5" i="13"/>
  <c r="D5" i="12"/>
  <c r="B5" i="12"/>
  <c r="F5" i="12"/>
  <c r="I25" i="23"/>
  <c r="D23" i="23"/>
  <c r="B6" i="11" s="1"/>
  <c r="I23" i="23"/>
  <c r="G6" i="11" s="1"/>
  <c r="H23" i="23"/>
  <c r="F6" i="11" s="1"/>
  <c r="G23" i="23"/>
  <c r="E6" i="11" s="1"/>
  <c r="F23" i="23"/>
  <c r="D6" i="11" s="1"/>
  <c r="E23" i="23"/>
  <c r="C6" i="11" s="1"/>
  <c r="G6" i="10"/>
  <c r="E6" i="10"/>
  <c r="C6" i="10"/>
  <c r="B6" i="10"/>
  <c r="G5" i="13"/>
  <c r="G5" i="12"/>
  <c r="C11" i="23"/>
  <c r="A2" i="13" s="1"/>
  <c r="A2" i="11"/>
  <c r="A5" i="9"/>
  <c r="A5" i="8"/>
  <c r="A5" i="7"/>
  <c r="A5" i="6"/>
  <c r="A4" i="5"/>
  <c r="A4" i="4"/>
  <c r="A4" i="3"/>
  <c r="A4" i="2"/>
  <c r="A4" i="1"/>
  <c r="K14" i="3"/>
  <c r="Y4" i="17" s="1"/>
  <c r="J14" i="3"/>
  <c r="X4" i="17" s="1"/>
  <c r="I14" i="3"/>
  <c r="W4" i="17" s="1"/>
  <c r="I8" i="3"/>
  <c r="W3" i="17" s="1"/>
  <c r="H14" i="3"/>
  <c r="V4" i="17" s="1"/>
  <c r="G14" i="3"/>
  <c r="U4" i="17" s="1"/>
  <c r="E14" i="3"/>
  <c r="K8" i="3"/>
  <c r="J8" i="3"/>
  <c r="H8" i="3"/>
  <c r="G8" i="3"/>
  <c r="U3" i="17" s="1"/>
  <c r="E8" i="3"/>
  <c r="S3" i="17" s="1"/>
  <c r="F41" i="2"/>
  <c r="T17" i="16" s="1"/>
  <c r="E41" i="2"/>
  <c r="S17" i="16" s="1"/>
  <c r="D41" i="2"/>
  <c r="R17" i="16" s="1"/>
  <c r="C41" i="2"/>
  <c r="Q17" i="16" s="1"/>
  <c r="H27" i="2"/>
  <c r="V15" i="16" s="1"/>
  <c r="G27" i="2"/>
  <c r="U15" i="16" s="1"/>
  <c r="F27" i="2"/>
  <c r="T15" i="16" s="1"/>
  <c r="E27" i="2"/>
  <c r="S15" i="16" s="1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T14" i="16" s="1"/>
  <c r="D22" i="2"/>
  <c r="R14" i="16" s="1"/>
  <c r="C22" i="2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P36" i="18"/>
  <c r="B64" i="4"/>
  <c r="B63" i="4"/>
  <c r="B55" i="4"/>
  <c r="P30" i="18"/>
  <c r="B49" i="4"/>
  <c r="B48" i="4"/>
  <c r="B37" i="4"/>
  <c r="B44" i="4"/>
  <c r="P25" i="18" s="1"/>
  <c r="B8" i="4"/>
  <c r="B29" i="4"/>
  <c r="P15" i="18" s="1"/>
  <c r="B17" i="4"/>
  <c r="B13" i="4"/>
  <c r="B21" i="4" s="1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3" i="18"/>
  <c r="P34" i="18"/>
  <c r="P35" i="18"/>
  <c r="P32" i="18"/>
  <c r="P27" i="18"/>
  <c r="P28" i="18"/>
  <c r="P29" i="18"/>
  <c r="P26" i="18"/>
  <c r="P20" i="18"/>
  <c r="P21" i="18"/>
  <c r="P22" i="18"/>
  <c r="P23" i="18"/>
  <c r="P24" i="18"/>
  <c r="P19" i="18"/>
  <c r="P16" i="18"/>
  <c r="P17" i="18"/>
  <c r="P7" i="18"/>
  <c r="P8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F23" i="1"/>
  <c r="Q71" i="15" s="1"/>
  <c r="F27" i="1"/>
  <c r="F31" i="1"/>
  <c r="F38" i="1"/>
  <c r="Q87" i="15" s="1"/>
  <c r="F42" i="1"/>
  <c r="Q91" i="15" s="1"/>
  <c r="F63" i="1"/>
  <c r="Q106" i="15"/>
  <c r="Q107" i="15"/>
  <c r="Q108" i="15"/>
  <c r="Q109" i="15"/>
  <c r="F68" i="1"/>
  <c r="Q110" i="15" s="1"/>
  <c r="Q111" i="15"/>
  <c r="Q112" i="15"/>
  <c r="Q113" i="15"/>
  <c r="Q114" i="15"/>
  <c r="Q115" i="15"/>
  <c r="F75" i="1"/>
  <c r="Q116" i="15"/>
  <c r="Q117" i="15"/>
  <c r="Q118" i="15"/>
  <c r="F79" i="1"/>
  <c r="Q119" i="15" s="1"/>
  <c r="E9" i="1"/>
  <c r="E23" i="1"/>
  <c r="E27" i="1"/>
  <c r="E31" i="1"/>
  <c r="E38" i="1"/>
  <c r="E42" i="1"/>
  <c r="E57" i="1"/>
  <c r="P103" i="15" s="1"/>
  <c r="E63" i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P88" i="15"/>
  <c r="Q88" i="15"/>
  <c r="P89" i="15"/>
  <c r="Q89" i="15"/>
  <c r="P90" i="15"/>
  <c r="Q90" i="15"/>
  <c r="P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Q4" i="15" s="1"/>
  <c r="C17" i="1"/>
  <c r="Q12" i="15" s="1"/>
  <c r="C25" i="1"/>
  <c r="Q20" i="15" s="1"/>
  <c r="C31" i="1"/>
  <c r="C38" i="1"/>
  <c r="Q34" i="15" s="1"/>
  <c r="C41" i="1"/>
  <c r="Q37" i="15" s="1"/>
  <c r="C60" i="1"/>
  <c r="Q53" i="15" s="1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D70" i="4"/>
  <c r="C64" i="4"/>
  <c r="D64" i="4"/>
  <c r="R33" i="18" s="1"/>
  <c r="C63" i="4"/>
  <c r="D63" i="4"/>
  <c r="C48" i="4"/>
  <c r="C55" i="4"/>
  <c r="Q31" i="18" s="1"/>
  <c r="D55" i="4"/>
  <c r="D48" i="4"/>
  <c r="R26" i="18" s="1"/>
  <c r="C49" i="4"/>
  <c r="D49" i="4"/>
  <c r="C29" i="4"/>
  <c r="D29" i="4"/>
  <c r="R15" i="18" s="1"/>
  <c r="C40" i="4"/>
  <c r="D40" i="4"/>
  <c r="C37" i="4"/>
  <c r="Q19" i="18" s="1"/>
  <c r="D37" i="4"/>
  <c r="C13" i="4"/>
  <c r="D13" i="4"/>
  <c r="R6" i="18" s="1"/>
  <c r="X3" i="17"/>
  <c r="Q14" i="16"/>
  <c r="C13" i="2"/>
  <c r="Q8" i="16" s="1"/>
  <c r="D13" i="2"/>
  <c r="R8" i="16" s="1"/>
  <c r="E13" i="2"/>
  <c r="S8" i="16" s="1"/>
  <c r="F13" i="2"/>
  <c r="T8" i="16" s="1"/>
  <c r="G13" i="2"/>
  <c r="U8" i="16" s="1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 s="1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38" i="18"/>
  <c r="R37" i="18"/>
  <c r="Q15" i="18"/>
  <c r="R30" i="18"/>
  <c r="Q26" i="18"/>
  <c r="Q33" i="18"/>
  <c r="Q37" i="18"/>
  <c r="G8" i="2"/>
  <c r="G20" i="2" s="1"/>
  <c r="U13" i="16" s="1"/>
  <c r="D44" i="4"/>
  <c r="R25" i="18" s="1"/>
  <c r="E8" i="2"/>
  <c r="E20" i="2" s="1"/>
  <c r="S13" i="16" s="1"/>
  <c r="Q38" i="18"/>
  <c r="H8" i="2"/>
  <c r="H20" i="2" s="1"/>
  <c r="V13" i="16" s="1"/>
  <c r="F8" i="2"/>
  <c r="F20" i="2" s="1"/>
  <c r="T13" i="16" s="1"/>
  <c r="V3" i="16"/>
  <c r="C8" i="4"/>
  <c r="Q2" i="18" s="1"/>
  <c r="Q5" i="18"/>
  <c r="D8" i="4"/>
  <c r="D21" i="4" s="1"/>
  <c r="R5" i="18"/>
  <c r="C21" i="4"/>
  <c r="C23" i="4" s="1"/>
  <c r="Q67" i="15"/>
  <c r="C57" i="4" l="1"/>
  <c r="C59" i="4" s="1"/>
  <c r="F84" i="6"/>
  <c r="T76" i="24" s="1"/>
  <c r="B9" i="6"/>
  <c r="D57" i="4"/>
  <c r="D59" i="4" s="1"/>
  <c r="B47" i="1"/>
  <c r="B62" i="1" s="1"/>
  <c r="P54" i="15" s="1"/>
  <c r="E33" i="9"/>
  <c r="S24" i="27" s="1"/>
  <c r="F9" i="8"/>
  <c r="T2" i="26" s="1"/>
  <c r="E9" i="8"/>
  <c r="C9" i="8"/>
  <c r="B29" i="7"/>
  <c r="P4" i="25" s="1"/>
  <c r="F29" i="7"/>
  <c r="T4" i="25" s="1"/>
  <c r="S14" i="16"/>
  <c r="P3" i="25"/>
  <c r="Q12" i="18"/>
  <c r="D23" i="4"/>
  <c r="D25" i="4" s="1"/>
  <c r="R12" i="18"/>
  <c r="P38" i="18"/>
  <c r="B74" i="4"/>
  <c r="P39" i="18" s="1"/>
  <c r="R2" i="18"/>
  <c r="J20" i="3"/>
  <c r="X5" i="17" s="1"/>
  <c r="E20" i="3"/>
  <c r="S5" i="17" s="1"/>
  <c r="E29" i="7"/>
  <c r="S4" i="25" s="1"/>
  <c r="G29" i="7"/>
  <c r="U4" i="25" s="1"/>
  <c r="D6" i="10"/>
  <c r="F6" i="10"/>
  <c r="S4" i="17"/>
  <c r="H20" i="3"/>
  <c r="V5" i="17" s="1"/>
  <c r="C29" i="7"/>
  <c r="Q4" i="25" s="1"/>
  <c r="S3" i="25"/>
  <c r="F33" i="9"/>
  <c r="T24" i="27" s="1"/>
  <c r="U21" i="27"/>
  <c r="B33" i="9"/>
  <c r="P24" i="27" s="1"/>
  <c r="G21" i="9"/>
  <c r="U13" i="27" s="1"/>
  <c r="C33" i="9"/>
  <c r="Q24" i="27" s="1"/>
  <c r="D33" i="9"/>
  <c r="R24" i="27" s="1"/>
  <c r="F43" i="8"/>
  <c r="T35" i="26" s="1"/>
  <c r="E43" i="8"/>
  <c r="S35" i="26" s="1"/>
  <c r="D43" i="8"/>
  <c r="R35" i="26" s="1"/>
  <c r="C43" i="8"/>
  <c r="Q35" i="26" s="1"/>
  <c r="S45" i="26"/>
  <c r="Q45" i="26"/>
  <c r="G43" i="8"/>
  <c r="U35" i="26" s="1"/>
  <c r="U36" i="26"/>
  <c r="U37" i="26"/>
  <c r="Q2" i="26"/>
  <c r="S2" i="26"/>
  <c r="B9" i="8"/>
  <c r="B77" i="8" s="1"/>
  <c r="P68" i="26" s="1"/>
  <c r="P12" i="26"/>
  <c r="F77" i="8"/>
  <c r="T68" i="26" s="1"/>
  <c r="G9" i="8"/>
  <c r="U3" i="26"/>
  <c r="U5" i="26"/>
  <c r="Q3" i="25"/>
  <c r="D29" i="7"/>
  <c r="R4" i="25" s="1"/>
  <c r="D84" i="6"/>
  <c r="R76" i="24" s="1"/>
  <c r="C84" i="6"/>
  <c r="Q76" i="24" s="1"/>
  <c r="B84" i="6"/>
  <c r="P76" i="24" s="1"/>
  <c r="E84" i="6"/>
  <c r="S76" i="24" s="1"/>
  <c r="G84" i="6"/>
  <c r="U76" i="24" s="1"/>
  <c r="P2" i="24"/>
  <c r="P68" i="24"/>
  <c r="E9" i="6"/>
  <c r="S2" i="24" s="1"/>
  <c r="G9" i="6"/>
  <c r="D9" i="6"/>
  <c r="F9" i="6"/>
  <c r="F159" i="6" s="1"/>
  <c r="T150" i="24" s="1"/>
  <c r="C9" i="6"/>
  <c r="Q2" i="24" s="1"/>
  <c r="T2" i="24"/>
  <c r="U58" i="20"/>
  <c r="F65" i="5"/>
  <c r="T56" i="20" s="1"/>
  <c r="D65" i="5"/>
  <c r="R56" i="20" s="1"/>
  <c r="U46" i="20"/>
  <c r="G65" i="5"/>
  <c r="U56" i="20" s="1"/>
  <c r="U50" i="20"/>
  <c r="B65" i="5"/>
  <c r="P56" i="20" s="1"/>
  <c r="P37" i="20"/>
  <c r="B41" i="5"/>
  <c r="P34" i="20" s="1"/>
  <c r="E70" i="5"/>
  <c r="D41" i="5"/>
  <c r="R34" i="20" s="1"/>
  <c r="G41" i="5"/>
  <c r="U34" i="20" s="1"/>
  <c r="F41" i="5"/>
  <c r="G42" i="5"/>
  <c r="U35" i="20" s="1"/>
  <c r="C70" i="5"/>
  <c r="C74" i="4"/>
  <c r="Q39" i="18" s="1"/>
  <c r="B57" i="4"/>
  <c r="B59" i="4" s="1"/>
  <c r="C44" i="4"/>
  <c r="Q25" i="18" s="1"/>
  <c r="D74" i="4"/>
  <c r="R39" i="18" s="1"/>
  <c r="B23" i="4"/>
  <c r="P12" i="18"/>
  <c r="P6" i="18"/>
  <c r="R13" i="18"/>
  <c r="C25" i="4"/>
  <c r="Q13" i="18"/>
  <c r="I20" i="3"/>
  <c r="W5" i="17" s="1"/>
  <c r="G20" i="3"/>
  <c r="U5" i="17" s="1"/>
  <c r="K20" i="3"/>
  <c r="Y5" i="17" s="1"/>
  <c r="C8" i="2"/>
  <c r="D8" i="2"/>
  <c r="U3" i="16"/>
  <c r="S3" i="16"/>
  <c r="T3" i="16"/>
  <c r="B8" i="2"/>
  <c r="E79" i="1"/>
  <c r="P119" i="15" s="1"/>
  <c r="P106" i="15"/>
  <c r="E47" i="1"/>
  <c r="P95" i="15" s="1"/>
  <c r="F47" i="1"/>
  <c r="F59" i="1" s="1"/>
  <c r="Q104" i="15" s="1"/>
  <c r="C47" i="1"/>
  <c r="Q42" i="15" s="1"/>
  <c r="P42" i="15"/>
  <c r="C5" i="12"/>
  <c r="E5" i="12"/>
  <c r="F6" i="1"/>
  <c r="A2" i="10"/>
  <c r="A2" i="12"/>
  <c r="A2" i="6"/>
  <c r="A2" i="8"/>
  <c r="A2" i="5"/>
  <c r="A2" i="3"/>
  <c r="A2" i="1"/>
  <c r="A2" i="9"/>
  <c r="A2" i="7"/>
  <c r="A2" i="4"/>
  <c r="A2" i="2"/>
  <c r="A2" i="14"/>
  <c r="U2" i="25"/>
  <c r="V3" i="17"/>
  <c r="Y3" i="17"/>
  <c r="R3" i="25"/>
  <c r="G33" i="9" l="1"/>
  <c r="U24" i="27" s="1"/>
  <c r="C77" i="8"/>
  <c r="Q68" i="26" s="1"/>
  <c r="E77" i="8"/>
  <c r="S68" i="26" s="1"/>
  <c r="P2" i="26"/>
  <c r="D159" i="6"/>
  <c r="R150" i="24" s="1"/>
  <c r="D77" i="8"/>
  <c r="R68" i="26" s="1"/>
  <c r="U2" i="26"/>
  <c r="G77" i="8"/>
  <c r="U68" i="26" s="1"/>
  <c r="B159" i="6"/>
  <c r="P150" i="24" s="1"/>
  <c r="E159" i="6"/>
  <c r="S150" i="24" s="1"/>
  <c r="G159" i="6"/>
  <c r="U150" i="24" s="1"/>
  <c r="U2" i="24"/>
  <c r="R2" i="24"/>
  <c r="C159" i="6"/>
  <c r="Q150" i="24" s="1"/>
  <c r="G70" i="5"/>
  <c r="B70" i="5"/>
  <c r="D70" i="5"/>
  <c r="T34" i="20"/>
  <c r="F70" i="5"/>
  <c r="B25" i="4"/>
  <c r="P13" i="18"/>
  <c r="R14" i="18"/>
  <c r="D33" i="4"/>
  <c r="R18" i="18" s="1"/>
  <c r="C33" i="4"/>
  <c r="Q18" i="18" s="1"/>
  <c r="Q14" i="18"/>
  <c r="C20" i="2"/>
  <c r="Q13" i="16" s="1"/>
  <c r="Q3" i="16"/>
  <c r="R3" i="16"/>
  <c r="D20" i="2"/>
  <c r="R13" i="16" s="1"/>
  <c r="P13" i="16"/>
  <c r="P3" i="16"/>
  <c r="F81" i="1"/>
  <c r="Q120" i="15" s="1"/>
  <c r="E59" i="1"/>
  <c r="E81" i="1" s="1"/>
  <c r="P120" i="15" s="1"/>
  <c r="Q95" i="15"/>
  <c r="C62" i="1"/>
  <c r="Q54" i="15" s="1"/>
  <c r="B33" i="4" l="1"/>
  <c r="P18" i="18" s="1"/>
  <c r="P14" i="18"/>
  <c r="P104" i="15"/>
</calcChain>
</file>

<file path=xl/sharedStrings.xml><?xml version="1.0" encoding="utf-8"?>
<sst xmlns="http://schemas.openxmlformats.org/spreadsheetml/2006/main" count="4483" uniqueCount="3306">
  <si>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</si>
  <si>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</si>
  <si>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</si>
  <si>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</si>
  <si>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</si>
  <si>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</si>
  <si>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</si>
  <si>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</si>
  <si>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</si>
  <si>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</si>
  <si>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</si>
  <si>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</si>
  <si>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</si>
  <si>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</si>
  <si>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</si>
  <si>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</si>
  <si>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</si>
  <si>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</si>
  <si>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</si>
  <si>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</si>
  <si>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</si>
  <si>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</si>
  <si>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</si>
  <si>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</si>
  <si>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</si>
  <si>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</si>
  <si>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</si>
  <si>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</si>
  <si>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</si>
  <si>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</si>
  <si>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</si>
  <si>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</si>
  <si>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</si>
  <si>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</si>
  <si>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</si>
  <si>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</si>
  <si>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</si>
  <si>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</si>
  <si>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</si>
  <si>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</si>
  <si>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</si>
  <si>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</si>
  <si>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</si>
  <si>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</si>
  <si>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</si>
  <si>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</si>
  <si>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</si>
  <si>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</si>
  <si>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</si>
  <si>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</si>
  <si>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</si>
  <si>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</si>
  <si>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</si>
  <si>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</si>
  <si>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</si>
  <si>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</si>
  <si>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</si>
  <si>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</si>
  <si>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</si>
  <si>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</si>
  <si>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</si>
  <si>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</si>
  <si>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</si>
  <si>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</si>
  <si>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</si>
  <si>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</si>
  <si>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</si>
  <si>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</si>
  <si>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</si>
  <si>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</si>
  <si>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</si>
  <si>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</si>
  <si>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</si>
  <si>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</si>
  <si>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</si>
  <si>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</si>
  <si>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</si>
  <si>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</si>
  <si>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</si>
  <si>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</si>
  <si>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</si>
  <si>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</si>
  <si>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</si>
  <si>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</si>
  <si>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</si>
  <si>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</si>
  <si>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</si>
  <si>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</si>
  <si>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</si>
  <si>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</si>
  <si>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</si>
  <si>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</si>
  <si>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</si>
  <si>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</si>
  <si>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</si>
  <si>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</si>
  <si>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</si>
  <si>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</si>
  <si>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</si>
  <si>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</si>
  <si>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</si>
  <si>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</si>
  <si>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</si>
  <si>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</si>
  <si>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</si>
  <si>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</si>
  <si>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</si>
  <si>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</si>
  <si>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</si>
  <si>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</si>
  <si>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</si>
  <si>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</si>
  <si>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</si>
  <si>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</si>
  <si>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</si>
  <si>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</si>
  <si>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</si>
  <si>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</si>
  <si>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</si>
  <si>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</si>
  <si>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</si>
  <si>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</si>
  <si>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</si>
  <si>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</si>
  <si>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</si>
  <si>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</si>
  <si>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</si>
  <si>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</si>
  <si>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</si>
  <si>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</si>
  <si>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</si>
  <si>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</si>
  <si>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</si>
  <si>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</si>
  <si>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</si>
  <si>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</si>
  <si>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</si>
  <si>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</si>
  <si>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</si>
  <si>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</si>
  <si>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</si>
  <si>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</si>
  <si>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</si>
  <si>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</si>
  <si>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</si>
  <si>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</si>
  <si>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</si>
  <si>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</si>
  <si>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</si>
  <si>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</si>
  <si>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</si>
  <si>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</si>
  <si>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</si>
  <si>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</si>
  <si>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</si>
  <si>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</si>
  <si>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</si>
  <si>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</si>
  <si>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</si>
  <si>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</si>
  <si>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</si>
  <si>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</si>
  <si>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</si>
  <si>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</si>
  <si>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</si>
  <si>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</si>
  <si>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</si>
  <si>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</si>
  <si>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</si>
  <si>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</si>
  <si>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</si>
  <si>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</si>
  <si>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</si>
  <si>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</si>
  <si>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</si>
  <si>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</si>
  <si>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</si>
  <si>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</si>
  <si>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</si>
  <si>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</si>
  <si>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</si>
  <si>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</si>
  <si>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</si>
  <si>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</si>
  <si>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</si>
  <si>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</si>
  <si>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</si>
  <si>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</si>
  <si>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</si>
  <si>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</si>
  <si>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</si>
  <si>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</si>
  <si>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</si>
  <si>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</si>
  <si>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</si>
  <si>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</si>
  <si>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</si>
  <si>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</si>
  <si>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</si>
  <si>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</si>
  <si>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</si>
  <si>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</si>
  <si>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</si>
  <si>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</si>
  <si>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</si>
  <si>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</si>
  <si>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</si>
  <si>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</si>
  <si>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</si>
  <si>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</si>
  <si>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</si>
  <si>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</si>
  <si>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</si>
  <si>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</si>
  <si>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</si>
  <si>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</si>
  <si>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</si>
  <si>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</si>
  <si>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</si>
  <si>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</si>
  <si>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</si>
  <si>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</si>
  <si>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</si>
  <si>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</si>
  <si>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</si>
  <si>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</si>
  <si>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</si>
  <si>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</si>
  <si>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</si>
  <si>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</si>
  <si>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</si>
  <si>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</si>
  <si>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</si>
  <si>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</si>
  <si>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</si>
  <si>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</si>
  <si>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</si>
  <si>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</si>
  <si>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</si>
  <si>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</si>
  <si>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</si>
  <si>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</si>
  <si>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</si>
  <si>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</si>
  <si>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</si>
  <si>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</si>
  <si>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</si>
  <si>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</si>
  <si>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</si>
  <si>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</si>
  <si>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</si>
  <si>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</si>
  <si>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</si>
  <si>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</si>
  <si>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</si>
  <si>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</si>
  <si>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</si>
  <si>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</si>
  <si>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</si>
  <si>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</si>
  <si>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</si>
  <si>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</si>
  <si>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</si>
  <si>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</si>
  <si>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</si>
  <si>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</si>
  <si>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</si>
  <si>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</si>
  <si>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</si>
  <si>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</si>
  <si>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</si>
  <si>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</si>
  <si>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</si>
  <si>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</si>
  <si>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</si>
  <si>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</si>
  <si>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</si>
  <si>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</si>
  <si>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</si>
  <si>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</si>
  <si>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</si>
  <si>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</si>
  <si>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</si>
  <si>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</si>
  <si>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</si>
  <si>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</si>
  <si>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</si>
  <si>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</si>
  <si>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</si>
  <si>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</si>
  <si>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</si>
  <si>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</si>
  <si>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</si>
  <si>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</si>
  <si>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</si>
  <si>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</si>
  <si>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</si>
  <si>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</si>
  <si>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</si>
  <si>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</si>
  <si>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</si>
  <si>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</si>
  <si>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</si>
  <si>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</si>
  <si>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</si>
  <si>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</si>
  <si>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</si>
  <si>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</si>
  <si>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</si>
  <si>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</si>
  <si>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</si>
  <si>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</si>
  <si>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</si>
  <si>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</si>
  <si>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</si>
  <si>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</si>
  <si>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</si>
  <si>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</si>
  <si>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</si>
  <si>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</si>
  <si>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</si>
  <si>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</si>
  <si>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</si>
  <si>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</si>
  <si>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</si>
  <si>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</si>
  <si>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</si>
  <si>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</si>
  <si>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</si>
  <si>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</si>
  <si>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</si>
  <si>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</si>
  <si>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</si>
  <si>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</si>
  <si>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</si>
  <si>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</si>
  <si>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</si>
  <si>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</si>
  <si>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</si>
  <si>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</si>
  <si>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</si>
  <si>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</si>
  <si>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</si>
  <si>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</si>
  <si>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</si>
  <si>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</si>
  <si>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</si>
  <si>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</si>
  <si>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</si>
  <si>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</si>
  <si>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</si>
  <si>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</si>
  <si>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</si>
  <si>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</si>
  <si>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</si>
  <si>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</si>
  <si>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</si>
  <si>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</si>
  <si>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</si>
  <si>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</si>
  <si>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</si>
  <si>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</si>
  <si>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</si>
  <si>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</si>
  <si>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</si>
  <si>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</si>
  <si>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</si>
  <si>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</si>
  <si>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</si>
  <si>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</si>
  <si>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</si>
  <si>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</si>
  <si>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</si>
  <si>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</si>
  <si>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</si>
  <si>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</si>
  <si>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</si>
  <si>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</si>
  <si>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</si>
  <si>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</si>
  <si>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</si>
  <si>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</si>
  <si>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</si>
  <si>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</si>
  <si>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</si>
  <si>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</si>
  <si>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</si>
  <si>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</si>
  <si>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</si>
  <si>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</si>
  <si>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</si>
  <si>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</si>
  <si>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</si>
  <si>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</si>
  <si>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</si>
  <si>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</si>
  <si>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</si>
  <si>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</si>
  <si>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</si>
  <si>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</si>
  <si>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</si>
  <si>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</si>
  <si>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</si>
  <si>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</si>
  <si>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</si>
  <si>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</si>
  <si>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</si>
  <si>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</si>
  <si>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</si>
  <si>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</si>
  <si>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</si>
  <si>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</si>
  <si>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</si>
  <si>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</si>
  <si>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</si>
  <si>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</si>
  <si>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</si>
  <si>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</si>
  <si>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</si>
  <si>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</si>
  <si>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</si>
  <si>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</si>
  <si>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</si>
  <si>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</si>
  <si>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</si>
  <si>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</si>
  <si>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</si>
  <si>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</si>
  <si>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</si>
  <si>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</si>
  <si>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</si>
  <si>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</si>
  <si>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</si>
  <si>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</si>
  <si>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</si>
  <si>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</si>
  <si>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</si>
  <si>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</si>
  <si>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</si>
  <si>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</si>
  <si>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</si>
  <si>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</si>
  <si>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</si>
  <si>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</si>
  <si>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</si>
  <si>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</si>
  <si>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</si>
  <si>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</si>
  <si>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</si>
  <si>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</si>
  <si>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</si>
  <si>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</si>
  <si>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</si>
  <si>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</si>
  <si>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</si>
  <si>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</si>
  <si>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</si>
  <si>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</si>
  <si>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</si>
  <si>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</si>
  <si>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</si>
  <si>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</si>
  <si>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</si>
  <si>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</si>
  <si>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</si>
  <si>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</si>
  <si>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</si>
  <si>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</si>
  <si>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</si>
  <si>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</si>
  <si>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</si>
  <si>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</si>
  <si>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</si>
  <si>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</si>
  <si>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</si>
  <si>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</si>
  <si>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</si>
  <si>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</si>
  <si>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</si>
  <si>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</si>
  <si>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</si>
  <si>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</si>
  <si>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</si>
  <si>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</si>
  <si>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</si>
  <si>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</si>
  <si>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</si>
  <si>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</si>
  <si>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</si>
  <si>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</si>
  <si>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</si>
  <si>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</si>
  <si>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</si>
  <si>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</si>
  <si>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</si>
  <si>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</si>
  <si>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</si>
  <si>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</si>
  <si>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</si>
  <si>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</si>
  <si>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</si>
  <si>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</si>
  <si>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</si>
  <si>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</si>
  <si>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</si>
  <si>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</si>
  <si>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</si>
  <si>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</si>
  <si>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</si>
  <si>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</si>
  <si>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</si>
  <si>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</si>
  <si>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</si>
  <si>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</si>
  <si>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</si>
  <si>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</si>
  <si>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</si>
  <si>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</si>
  <si>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</si>
  <si>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</si>
  <si>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</si>
  <si>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</si>
  <si>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</si>
  <si>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</si>
  <si>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</si>
  <si>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</si>
  <si>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</si>
  <si>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</si>
  <si>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</si>
  <si>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</si>
  <si>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</si>
  <si>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</si>
  <si>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</si>
  <si>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</si>
  <si>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</si>
  <si>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</si>
  <si>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</si>
  <si>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</si>
  <si>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</si>
  <si>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</si>
  <si>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</si>
  <si>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</si>
  <si>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</si>
  <si>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</si>
  <si>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</si>
  <si>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</si>
  <si>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</si>
  <si>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</si>
  <si>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</si>
  <si>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</si>
  <si>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</si>
  <si>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</si>
  <si>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</si>
  <si>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</si>
  <si>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</si>
  <si>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</si>
  <si>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</si>
  <si>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</si>
  <si>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</si>
  <si>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</si>
  <si>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</si>
  <si>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</si>
  <si>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</si>
  <si>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</si>
  <si>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</si>
  <si>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</si>
  <si>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</si>
  <si>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</si>
  <si>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</si>
  <si>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</si>
  <si>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</si>
  <si>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</si>
  <si>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</si>
  <si>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</si>
  <si>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</si>
  <si>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</si>
  <si>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</si>
  <si>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</si>
  <si>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</si>
  <si>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</si>
  <si>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</si>
  <si>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</si>
  <si>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</si>
  <si>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</si>
  <si>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</si>
  <si>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</si>
  <si>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</si>
  <si>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</si>
  <si>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</si>
  <si>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</si>
  <si>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</si>
  <si>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</si>
  <si>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</si>
  <si>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</si>
  <si>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</si>
  <si>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</si>
  <si>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</si>
  <si>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</si>
  <si>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</si>
  <si>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</si>
  <si>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</si>
  <si>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</si>
  <si>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</si>
  <si>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</si>
  <si>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</si>
  <si>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</si>
  <si>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</si>
  <si>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</si>
  <si>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</si>
  <si>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</si>
  <si>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</si>
  <si>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</si>
  <si>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</si>
  <si>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</si>
  <si>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</si>
  <si>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</si>
  <si>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</si>
  <si>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</si>
  <si>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</si>
  <si>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</si>
  <si>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</si>
  <si>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</si>
  <si>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</si>
  <si>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</si>
  <si>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</si>
  <si>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</si>
  <si>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</si>
  <si>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</si>
  <si>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</si>
  <si>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</si>
  <si>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</si>
  <si>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</si>
  <si>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</si>
  <si>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</si>
  <si>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</si>
  <si>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</si>
  <si>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</si>
  <si>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</si>
  <si>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</si>
  <si>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</si>
  <si>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</si>
  <si>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</si>
  <si>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</si>
  <si>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</si>
  <si>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</si>
  <si>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</si>
  <si>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</si>
  <si>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</si>
  <si>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</si>
  <si>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</si>
  <si>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</si>
  <si>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</si>
  <si>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</si>
  <si>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</si>
  <si>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</si>
  <si>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</si>
  <si>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</si>
  <si>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</si>
  <si>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</si>
  <si>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</si>
  <si>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</si>
  <si>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</si>
  <si>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</si>
  <si>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</si>
  <si>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</si>
  <si>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</si>
  <si>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</si>
  <si>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</si>
  <si>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</si>
  <si>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</si>
  <si>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</si>
  <si>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</si>
  <si>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</si>
  <si>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</si>
  <si>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</si>
  <si>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</si>
  <si>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</si>
  <si>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</si>
  <si>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</si>
  <si>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</si>
  <si>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</si>
  <si>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</si>
  <si>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</si>
  <si>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</si>
  <si>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</si>
  <si>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</si>
  <si>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</si>
  <si>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</si>
  <si>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</si>
  <si>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</si>
  <si>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</si>
  <si>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</si>
  <si>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</si>
  <si>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</si>
  <si>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</si>
  <si>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</si>
  <si>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</si>
  <si>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</si>
  <si>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</si>
  <si>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</si>
  <si>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</si>
  <si>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</si>
  <si>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</si>
  <si>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</si>
  <si>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</si>
  <si>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</si>
  <si>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</si>
  <si>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</si>
  <si>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</si>
  <si>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</si>
  <si>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</si>
  <si>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</si>
  <si>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</si>
  <si>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</si>
  <si>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</si>
  <si>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</si>
  <si>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</si>
  <si>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</si>
  <si>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</si>
  <si>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</si>
  <si>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</si>
  <si>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</si>
  <si>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</si>
  <si>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</si>
  <si>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</si>
  <si>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</si>
  <si>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</si>
  <si>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</si>
  <si>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</si>
  <si>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</si>
  <si>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</si>
  <si>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</si>
  <si>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</si>
  <si>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</si>
  <si>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</si>
  <si>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</si>
  <si>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</si>
  <si>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</si>
  <si>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</si>
  <si>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</si>
  <si>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</si>
  <si>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</si>
  <si>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</si>
  <si>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</si>
  <si>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</si>
  <si>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</si>
  <si>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</si>
  <si>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</si>
  <si>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</si>
  <si>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</si>
  <si>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</si>
  <si>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</si>
  <si>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</si>
  <si>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</si>
  <si>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</si>
  <si>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</si>
  <si>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</si>
  <si>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</si>
  <si>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</si>
  <si>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</si>
  <si>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</si>
  <si>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</si>
  <si>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</si>
  <si>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</si>
  <si>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</si>
  <si>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</si>
  <si>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</si>
  <si>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</si>
  <si>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</si>
  <si>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</si>
  <si>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</si>
  <si>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</si>
  <si>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</si>
  <si>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</si>
  <si>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</si>
  <si>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</si>
  <si>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</si>
  <si>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</si>
  <si>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</si>
  <si>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</si>
  <si>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</si>
  <si>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</si>
  <si>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</si>
  <si>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</si>
  <si>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</si>
  <si>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</si>
  <si>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</si>
  <si>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</si>
  <si>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</si>
  <si>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</si>
  <si>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</si>
  <si>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</si>
  <si>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</si>
  <si>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</si>
  <si>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</si>
  <si>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</si>
  <si>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</si>
  <si>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</si>
  <si>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</si>
  <si>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</si>
  <si>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</si>
  <si>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</si>
  <si>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</si>
  <si>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</si>
  <si>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</si>
  <si>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</si>
  <si>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</si>
  <si>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</si>
  <si>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</si>
  <si>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</si>
  <si>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</si>
  <si>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</si>
  <si>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</si>
  <si>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</si>
  <si>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</si>
  <si>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</si>
  <si>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</si>
  <si>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</si>
  <si>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</si>
  <si>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</si>
  <si>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</si>
  <si>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</si>
  <si>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</si>
  <si>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</si>
  <si>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</si>
  <si>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</si>
  <si>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</si>
  <si>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</si>
  <si>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</si>
  <si>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</si>
  <si>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</si>
  <si>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</si>
  <si>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</si>
  <si>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</si>
  <si>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</si>
  <si>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</si>
  <si>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</si>
  <si>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</si>
  <si>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</si>
  <si>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</si>
  <si>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</si>
  <si>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</si>
  <si>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</si>
  <si>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</si>
  <si>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</si>
  <si>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</si>
  <si>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</si>
  <si>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</si>
  <si>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</si>
  <si>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</si>
  <si>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</si>
  <si>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</si>
  <si>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</si>
  <si>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</si>
  <si>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</si>
  <si>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</si>
  <si>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</si>
  <si>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</si>
  <si>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</si>
  <si>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</si>
  <si>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</si>
  <si>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</si>
  <si>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</si>
  <si>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</si>
  <si>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</si>
  <si>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</si>
  <si>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</si>
  <si>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</si>
  <si>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</si>
  <si>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</si>
  <si>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</si>
  <si>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</si>
  <si>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</si>
  <si>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</si>
  <si>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</si>
  <si>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</si>
  <si>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</si>
  <si>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</si>
  <si>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</si>
  <si>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</si>
  <si>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</si>
  <si>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</si>
  <si>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</si>
  <si>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</si>
  <si>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</si>
  <si>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</si>
  <si>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</si>
  <si>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</si>
  <si>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</si>
  <si>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</si>
  <si>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</si>
  <si>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</si>
  <si>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</si>
  <si>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</si>
  <si>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</si>
  <si>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</si>
  <si>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</si>
  <si>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</si>
  <si>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</si>
  <si>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</si>
  <si>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</si>
  <si>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</si>
  <si>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</si>
  <si>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</si>
  <si>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</si>
  <si>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</si>
  <si>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</si>
  <si>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</si>
  <si>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</si>
  <si>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</si>
  <si>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</si>
  <si>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</si>
  <si>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</si>
  <si>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</si>
  <si>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</si>
  <si>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</si>
  <si>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</si>
  <si>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</si>
  <si>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</si>
  <si>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</si>
  <si>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</si>
  <si>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</si>
  <si>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</si>
  <si>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</si>
  <si>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</si>
  <si>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</si>
  <si>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</si>
  <si>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</si>
  <si>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</si>
  <si>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</si>
  <si>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</si>
  <si>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</si>
  <si>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</si>
  <si>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</si>
  <si>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</si>
  <si>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</si>
  <si>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</si>
  <si>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</si>
  <si>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</si>
  <si>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</si>
  <si>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</si>
  <si>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</si>
  <si>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</si>
  <si>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</si>
  <si>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</si>
  <si>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</si>
  <si>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</si>
  <si>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</si>
  <si>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</si>
  <si>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</si>
  <si>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</si>
  <si>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</si>
  <si>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</si>
  <si>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</si>
  <si>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</si>
  <si>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</si>
  <si>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</si>
  <si>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</si>
  <si>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</si>
  <si>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</si>
  <si>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</si>
  <si>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</si>
  <si>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</si>
  <si>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</si>
  <si>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</si>
  <si>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</si>
  <si>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</si>
  <si>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</si>
  <si>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</si>
  <si>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</si>
  <si>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</si>
  <si>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</si>
  <si>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</si>
  <si>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</si>
  <si>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</si>
  <si>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</si>
  <si>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</si>
  <si>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</si>
  <si>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</si>
  <si>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</si>
  <si>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</si>
  <si>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</si>
  <si>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</si>
  <si>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</si>
  <si>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</si>
  <si>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</si>
  <si>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</si>
  <si>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</si>
  <si>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</si>
  <si>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</si>
  <si>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</si>
  <si>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</si>
  <si>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</si>
  <si>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</si>
  <si>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</si>
  <si>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</si>
  <si>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</si>
  <si>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</si>
  <si>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</si>
  <si>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</si>
  <si>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</si>
  <si>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</si>
  <si>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</si>
  <si>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</si>
  <si>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</si>
  <si>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</si>
  <si>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</si>
  <si>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</si>
  <si>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</si>
  <si>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</si>
  <si>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</si>
  <si>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</si>
  <si>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</si>
  <si>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</si>
  <si>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</si>
  <si>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</si>
  <si>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</si>
  <si>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</si>
  <si>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</si>
  <si>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</si>
  <si>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</si>
  <si>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</si>
  <si>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</si>
  <si>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</si>
  <si>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</si>
  <si>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</si>
  <si>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</si>
  <si>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</si>
  <si>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</si>
  <si>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</si>
  <si>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</si>
  <si>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</si>
  <si>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</si>
  <si>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</si>
  <si>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</si>
  <si>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</si>
  <si>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</si>
  <si>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</si>
  <si>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</si>
  <si>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</si>
  <si>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</si>
  <si>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</si>
  <si>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</si>
  <si>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</si>
  <si>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</si>
  <si>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</si>
  <si>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</si>
  <si>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</si>
  <si>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</si>
  <si>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</si>
  <si>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</si>
  <si>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</si>
  <si>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</si>
  <si>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</si>
  <si>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</si>
  <si>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</si>
  <si>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</si>
  <si>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</si>
  <si>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</si>
  <si>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</si>
  <si>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</si>
  <si>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</si>
  <si>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</si>
  <si>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</si>
  <si>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</si>
  <si>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</si>
  <si>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</si>
  <si>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</si>
  <si>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</si>
  <si>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</si>
  <si>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</si>
  <si>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</si>
  <si>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</si>
  <si>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</si>
  <si>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</si>
  <si>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</si>
  <si>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</si>
  <si>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</si>
  <si>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</si>
  <si>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</si>
  <si>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</si>
  <si>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</si>
  <si>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</si>
  <si>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</si>
  <si>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</si>
  <si>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</si>
  <si>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</si>
  <si>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</si>
  <si>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</si>
  <si>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</si>
  <si>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</si>
  <si>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</si>
  <si>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</si>
  <si>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</si>
  <si>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</si>
  <si>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</si>
  <si>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</si>
  <si>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</si>
  <si>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</si>
  <si>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</si>
  <si>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</si>
  <si>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</si>
  <si>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</si>
  <si>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</si>
  <si>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</si>
  <si>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</si>
  <si>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</si>
  <si>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</si>
  <si>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</si>
  <si>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</si>
  <si>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</si>
  <si>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</si>
  <si>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</si>
  <si>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</si>
  <si>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</si>
  <si>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</si>
  <si>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</si>
  <si>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</si>
  <si>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</si>
  <si>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</si>
  <si>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</si>
  <si>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</si>
  <si>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</si>
  <si>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</si>
  <si>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</si>
  <si>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</si>
  <si>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</si>
  <si>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</si>
  <si>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</si>
  <si>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</si>
  <si>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</si>
  <si>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</si>
  <si>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</si>
  <si>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</si>
  <si>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</si>
  <si>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</si>
  <si>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</si>
  <si>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</si>
  <si>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</si>
  <si>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</si>
  <si>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</si>
  <si>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</si>
  <si>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</si>
  <si>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</si>
  <si>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</si>
  <si>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</si>
  <si>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</si>
  <si>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</si>
  <si>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</si>
  <si>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</si>
  <si>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</si>
  <si>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</si>
  <si>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</si>
  <si>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</si>
  <si>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</si>
  <si>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</si>
  <si>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</si>
  <si>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</si>
  <si>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</si>
  <si>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</si>
  <si>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</si>
  <si>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</si>
  <si>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</si>
  <si>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</si>
  <si>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</si>
  <si>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</si>
  <si>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</si>
  <si>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</si>
  <si>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</si>
  <si>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</si>
  <si>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</si>
  <si>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</si>
  <si>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</si>
  <si>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</si>
  <si>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</si>
  <si>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</si>
  <si>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</si>
  <si>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</si>
  <si>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</si>
  <si>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</si>
  <si>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</si>
  <si>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</si>
  <si>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</si>
  <si>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</si>
  <si>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</si>
  <si>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</si>
  <si>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</si>
  <si>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</si>
  <si>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</si>
  <si>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</si>
  <si>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</si>
  <si>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</si>
  <si>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</si>
  <si>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</si>
  <si>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</si>
  <si>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</si>
  <si>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</si>
  <si>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</si>
  <si>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</si>
  <si>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</si>
  <si>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</si>
  <si>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</si>
  <si>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</si>
  <si>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</si>
  <si>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</si>
  <si>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</si>
  <si>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</si>
  <si>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</si>
  <si>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</si>
  <si>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</si>
  <si>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</si>
  <si>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</si>
  <si>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</si>
  <si>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</si>
  <si>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</si>
  <si>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</si>
  <si>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</si>
  <si>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</si>
  <si>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</si>
  <si>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</si>
  <si>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</si>
  <si>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</si>
  <si>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</si>
  <si>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</si>
  <si>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</si>
  <si>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</si>
  <si>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</si>
  <si>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</si>
  <si>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</si>
  <si>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</si>
  <si>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</si>
  <si>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</si>
  <si>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</si>
  <si>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</si>
  <si>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</si>
  <si>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</si>
  <si>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</si>
  <si>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</si>
  <si>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</si>
  <si>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</si>
  <si>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</si>
  <si>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</si>
  <si>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</si>
  <si>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</si>
  <si>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</si>
  <si>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</si>
  <si>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</si>
  <si>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</si>
  <si>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</si>
  <si>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</si>
  <si>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</si>
  <si>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</si>
  <si>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</si>
  <si>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</si>
  <si>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</si>
  <si>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</si>
  <si>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</si>
  <si>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</si>
  <si>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</si>
  <si>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</si>
  <si>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</si>
  <si>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</si>
  <si>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</si>
  <si>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</si>
  <si>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</si>
  <si>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</si>
  <si>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</si>
  <si>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</si>
  <si>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</si>
  <si>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</si>
  <si>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</si>
  <si>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</si>
  <si>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</si>
  <si>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</si>
  <si>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</si>
  <si>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</si>
  <si>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</si>
  <si>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</si>
  <si>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</si>
  <si>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</si>
  <si>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</si>
  <si>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</si>
  <si>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</si>
  <si>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</si>
  <si>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</si>
  <si>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</si>
  <si>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</si>
  <si>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</si>
  <si>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</si>
  <si>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</si>
  <si>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</si>
  <si>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</si>
  <si>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</si>
  <si>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</si>
  <si>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</si>
  <si>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</si>
  <si>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</si>
  <si>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</si>
  <si>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</si>
  <si>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</si>
  <si>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</si>
  <si>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</si>
  <si>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</si>
  <si>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</si>
  <si>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</si>
  <si>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</si>
  <si>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</si>
  <si>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</si>
  <si>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</si>
  <si>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</si>
  <si>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</si>
  <si>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</si>
  <si>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</si>
  <si>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</si>
  <si>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</si>
  <si>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</si>
  <si>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</si>
  <si>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</si>
  <si>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</si>
  <si>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</si>
  <si>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</si>
  <si>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</si>
  <si>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</si>
  <si>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</si>
  <si>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</si>
  <si>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</si>
  <si>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</si>
  <si>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</si>
  <si>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</si>
  <si>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</si>
  <si>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</si>
  <si>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</si>
  <si>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</si>
  <si>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</si>
  <si>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</si>
  <si>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</si>
  <si>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</si>
  <si>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</si>
  <si>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</si>
  <si>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</si>
  <si>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</si>
  <si>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</si>
  <si>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</si>
  <si>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</si>
  <si>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</si>
  <si>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</si>
  <si>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</si>
  <si>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</si>
  <si>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</si>
  <si>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</si>
  <si>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</si>
  <si>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</si>
  <si>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</si>
  <si>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</si>
  <si>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</si>
  <si>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</si>
  <si>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</si>
  <si>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</si>
  <si>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</si>
  <si>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</si>
  <si>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</si>
  <si>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</si>
  <si>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</si>
  <si>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</si>
  <si>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</si>
  <si>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</si>
  <si>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</si>
  <si>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</si>
  <si>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</si>
  <si>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</si>
  <si>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</si>
  <si>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</si>
  <si>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</si>
  <si>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</si>
  <si>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</si>
  <si>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</si>
  <si>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</si>
  <si>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</si>
  <si>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</si>
  <si>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</si>
  <si>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</si>
  <si>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</si>
  <si>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</si>
  <si>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</si>
  <si>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</si>
  <si>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</si>
  <si>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</si>
  <si>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</si>
  <si>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</si>
  <si>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</si>
  <si>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</si>
  <si>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</si>
  <si>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</si>
  <si>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</si>
  <si>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</si>
  <si>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</si>
  <si>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</si>
  <si>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</si>
  <si>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</si>
  <si>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</si>
  <si>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</si>
  <si>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</si>
  <si>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</si>
  <si>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</si>
  <si>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</si>
  <si>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</si>
  <si>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</si>
  <si>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</si>
  <si>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</si>
  <si>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</si>
  <si>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</si>
  <si>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</si>
  <si>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</si>
  <si>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</si>
  <si>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</si>
  <si>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</si>
  <si>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</si>
  <si>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</si>
  <si>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</si>
  <si>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</si>
  <si>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</si>
  <si>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</si>
  <si>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</si>
  <si>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</si>
  <si>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</si>
  <si>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</si>
  <si>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</si>
  <si>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</si>
  <si>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</si>
  <si>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</si>
  <si>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</si>
  <si>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</si>
  <si>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</si>
  <si>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</si>
  <si>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</si>
  <si>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</si>
  <si>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</si>
  <si>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</si>
  <si>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</si>
  <si>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</si>
  <si>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</si>
  <si>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</si>
  <si>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</si>
  <si>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</si>
  <si>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</si>
  <si>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</si>
  <si>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</si>
  <si>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</si>
  <si>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</si>
  <si>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</si>
  <si>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</si>
  <si>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</si>
  <si>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</si>
  <si>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</si>
  <si>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</si>
  <si>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</si>
  <si>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</si>
  <si>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</si>
  <si>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</si>
  <si>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</si>
  <si>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</si>
  <si>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</si>
  <si>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</si>
  <si>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</si>
  <si>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</si>
  <si>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</si>
  <si>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</si>
  <si>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</si>
  <si>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</si>
  <si>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</si>
  <si>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</si>
  <si>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</si>
  <si>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</si>
  <si>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</si>
  <si>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</si>
  <si>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</si>
  <si>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</si>
  <si>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</si>
  <si>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</si>
  <si>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</si>
  <si>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</si>
  <si>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</si>
  <si>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</si>
  <si>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</si>
  <si>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</si>
  <si>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</si>
  <si>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</si>
  <si>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</si>
  <si>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</si>
  <si>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</si>
  <si>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</si>
  <si>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</si>
  <si>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</si>
  <si>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</si>
  <si>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</si>
  <si>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</si>
  <si>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</si>
  <si>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</si>
  <si>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</si>
  <si>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</si>
  <si>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</si>
  <si>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</si>
  <si>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</si>
  <si>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</si>
  <si>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</si>
  <si>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</si>
  <si>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</si>
  <si>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</si>
  <si>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</si>
  <si>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</si>
  <si>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</si>
  <si>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</si>
  <si>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</si>
  <si>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</si>
  <si>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</si>
  <si>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</si>
  <si>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</si>
  <si>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</si>
  <si>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</si>
  <si>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</si>
  <si>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</si>
  <si>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</si>
  <si>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</si>
  <si>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</si>
  <si>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</si>
  <si>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</si>
  <si>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</si>
  <si>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</si>
  <si>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</si>
  <si>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</si>
  <si>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</si>
  <si>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</si>
  <si>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</si>
  <si>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</si>
  <si>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</si>
  <si>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</si>
  <si>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</si>
  <si>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</si>
  <si>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</si>
  <si>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</si>
  <si>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</si>
  <si>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</si>
  <si>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</si>
  <si>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</si>
  <si>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</si>
  <si>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</si>
  <si>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</si>
  <si>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</si>
  <si>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</si>
  <si>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</si>
  <si>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</si>
  <si>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</si>
  <si>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</si>
  <si>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</si>
  <si>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</si>
  <si>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</si>
  <si>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</si>
  <si>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</si>
  <si>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</si>
  <si>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</si>
  <si>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</si>
  <si>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</si>
  <si>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</si>
  <si>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</si>
  <si>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</si>
  <si>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</si>
  <si>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</si>
  <si>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</si>
  <si>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</si>
  <si>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</si>
  <si>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</si>
  <si>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</si>
  <si>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</si>
  <si>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</si>
  <si>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</si>
  <si>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</si>
  <si>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</si>
  <si>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</si>
  <si>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</si>
  <si>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</si>
  <si>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</si>
  <si>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</si>
  <si>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</si>
  <si>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</si>
  <si>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</si>
  <si>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</si>
  <si>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</si>
  <si>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</si>
  <si>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</si>
  <si>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</si>
  <si>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</si>
  <si>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</si>
  <si>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</si>
  <si>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</si>
  <si>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</si>
  <si>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</si>
  <si>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</si>
  <si>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</si>
  <si>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</si>
  <si>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</si>
  <si>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</si>
  <si>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</si>
  <si>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</si>
  <si>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</si>
  <si>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</si>
  <si>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</si>
  <si>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</si>
  <si>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</si>
  <si>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</si>
  <si>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</si>
  <si>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</si>
  <si>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</si>
  <si>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</si>
  <si>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</si>
  <si>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</si>
  <si>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</si>
  <si>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</si>
  <si>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</si>
  <si>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</si>
  <si>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</si>
  <si>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</si>
  <si>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</si>
  <si>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</si>
  <si>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</si>
  <si>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</si>
  <si>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</si>
  <si>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</si>
  <si>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</si>
  <si>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</si>
  <si>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</si>
  <si>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</si>
  <si>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</si>
  <si>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</si>
  <si>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</si>
  <si>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</si>
  <si>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</si>
  <si>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</si>
  <si>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</si>
  <si>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</si>
  <si>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</si>
  <si>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</si>
  <si>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</si>
  <si>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</si>
  <si>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</si>
  <si>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</si>
  <si>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</si>
  <si>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</si>
  <si>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</si>
  <si>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</si>
  <si>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</si>
  <si>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</si>
  <si>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</si>
  <si>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</si>
  <si>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</si>
  <si>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</si>
  <si>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</si>
  <si>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</si>
  <si>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</si>
  <si>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</si>
  <si>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</si>
  <si>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</si>
  <si>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</si>
  <si>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</si>
  <si>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</si>
  <si>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</si>
  <si>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</si>
  <si>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</si>
  <si>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</si>
  <si>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</si>
  <si>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</si>
  <si>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</si>
  <si>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</si>
  <si>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</si>
  <si>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</si>
  <si>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</si>
  <si>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</si>
  <si>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</si>
  <si>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</si>
  <si>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</si>
  <si>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</si>
  <si>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</si>
  <si>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</si>
  <si>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</si>
  <si>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</si>
  <si>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</si>
  <si>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</si>
  <si>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</si>
  <si>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</si>
  <si>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</si>
  <si>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</si>
  <si>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</si>
  <si>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</si>
  <si>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</si>
  <si>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</si>
  <si>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</si>
  <si>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</si>
  <si>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</si>
  <si>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</si>
  <si>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</si>
  <si>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</si>
  <si>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</si>
  <si>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</si>
  <si>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</si>
  <si>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</si>
  <si>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</si>
  <si>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</si>
  <si>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</si>
  <si>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</si>
  <si>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</si>
  <si>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</si>
  <si>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</si>
  <si>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</si>
  <si>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</si>
  <si>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</si>
  <si>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</si>
  <si>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</si>
  <si>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</si>
  <si>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</si>
  <si>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</si>
  <si>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</si>
  <si>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</si>
  <si>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</si>
  <si>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</si>
  <si>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</si>
  <si>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</si>
  <si>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</si>
  <si>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</si>
  <si>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</si>
  <si>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</si>
  <si>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</si>
  <si>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</si>
  <si>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</si>
  <si>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</si>
  <si>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</si>
  <si>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</si>
  <si>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</si>
  <si>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</si>
  <si>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</si>
  <si>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</si>
  <si>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</si>
  <si>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</si>
  <si>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</si>
  <si>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</si>
  <si>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</si>
  <si>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</si>
  <si>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</si>
  <si>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</si>
  <si>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</si>
  <si>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</si>
  <si>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</si>
  <si>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</si>
  <si>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</si>
  <si>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</si>
  <si>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</si>
  <si>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</si>
  <si>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</si>
  <si>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</si>
  <si>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</si>
  <si>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</si>
  <si>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</si>
  <si>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</si>
  <si>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</si>
  <si>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</si>
  <si>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</si>
  <si>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</si>
  <si>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</si>
  <si>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</si>
  <si>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</si>
  <si>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</si>
  <si>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</si>
  <si>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</si>
  <si>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</si>
  <si>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</si>
  <si>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</si>
  <si>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</si>
  <si>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</si>
  <si>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</si>
  <si>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</si>
  <si>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</si>
  <si>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</si>
  <si>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</si>
  <si>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</si>
  <si>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</si>
  <si>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</si>
  <si>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</si>
  <si>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</si>
  <si>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</si>
  <si>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</si>
  <si>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</si>
  <si>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</si>
  <si>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</si>
  <si>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</si>
  <si>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</si>
  <si>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</si>
  <si>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</si>
  <si>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</si>
  <si>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</si>
  <si>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</si>
  <si>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</si>
  <si>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</si>
  <si>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</si>
  <si>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</si>
  <si>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</si>
  <si>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</si>
  <si>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</si>
  <si>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</si>
  <si>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</si>
  <si>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</si>
  <si>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</si>
  <si>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</si>
  <si>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</si>
  <si>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</si>
  <si>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</si>
  <si>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</si>
  <si>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</si>
  <si>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</si>
  <si>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</si>
  <si>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</si>
  <si>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</si>
  <si>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</si>
  <si>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</si>
  <si>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</si>
  <si>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</si>
  <si>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</si>
  <si>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</si>
  <si>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</si>
  <si>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</si>
  <si>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</si>
  <si>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</si>
  <si>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</si>
  <si>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</si>
  <si>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</si>
  <si>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</si>
  <si>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</si>
  <si>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</si>
  <si>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</si>
  <si>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</si>
  <si>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</si>
  <si>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</si>
  <si>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</si>
  <si>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</si>
  <si>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</si>
  <si>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</si>
  <si>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</si>
  <si>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</si>
  <si>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</si>
  <si>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</si>
  <si>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</si>
  <si>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</si>
  <si>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</si>
  <si>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</si>
  <si>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</si>
  <si>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</si>
  <si>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</si>
  <si>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</si>
  <si>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</si>
  <si>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</si>
  <si>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</si>
  <si>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</si>
  <si>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</si>
  <si>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</si>
  <si>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</si>
  <si>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</si>
  <si>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</si>
  <si>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</si>
  <si>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</si>
  <si>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</si>
  <si>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</si>
  <si>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</si>
  <si>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</si>
  <si>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</si>
  <si>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</si>
  <si>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</si>
  <si>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</si>
  <si>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</si>
  <si>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</si>
  <si>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</si>
  <si>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</si>
  <si>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</si>
  <si>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</si>
  <si>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</si>
  <si>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</si>
  <si>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</si>
  <si>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</si>
  <si>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</si>
  <si>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</si>
  <si>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</si>
  <si>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</si>
  <si>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</si>
  <si>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</si>
  <si>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</si>
  <si>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</si>
  <si>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</si>
  <si>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</si>
  <si>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</si>
  <si>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</si>
  <si>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</si>
  <si>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</si>
  <si>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</si>
  <si>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</si>
  <si>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</si>
  <si>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</si>
  <si>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</si>
  <si>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</si>
  <si>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</si>
  <si>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</si>
  <si>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</si>
  <si>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</si>
  <si>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</si>
  <si>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</si>
  <si>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</si>
  <si>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</si>
  <si>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</si>
  <si>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</si>
  <si>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</si>
  <si>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</si>
  <si>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</si>
  <si>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</si>
  <si>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</si>
  <si>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</si>
  <si>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</si>
  <si>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</si>
  <si>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</si>
  <si>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</si>
  <si>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</si>
  <si>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</si>
  <si>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</si>
  <si>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</si>
  <si>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</si>
  <si>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</si>
  <si>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</si>
  <si>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</si>
  <si>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</si>
  <si>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</si>
  <si>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</si>
  <si>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</si>
  <si>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</si>
  <si>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</si>
  <si>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</si>
  <si>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</si>
  <si>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</si>
  <si>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</si>
  <si>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</si>
  <si>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</si>
  <si>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</si>
  <si>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</si>
  <si>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</si>
  <si>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</si>
  <si>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</si>
  <si>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</si>
  <si>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</si>
  <si>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</si>
  <si>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</si>
  <si>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</si>
  <si>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</si>
  <si>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</si>
  <si>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</si>
  <si>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</si>
  <si>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</si>
  <si>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</si>
  <si>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</si>
  <si>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</si>
  <si>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</si>
  <si>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</si>
  <si>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</si>
  <si>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</si>
  <si>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</si>
  <si>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</si>
  <si>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</si>
  <si>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</si>
  <si>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</si>
  <si>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</si>
  <si>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</si>
  <si>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</si>
  <si>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</si>
  <si>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</si>
  <si>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</si>
  <si>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</si>
  <si>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</si>
  <si>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</si>
  <si>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</si>
  <si>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</si>
  <si>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</si>
  <si>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</si>
  <si>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</si>
  <si>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</si>
  <si>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</si>
  <si>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</si>
  <si>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</si>
  <si>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</si>
  <si>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</si>
  <si>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</si>
  <si>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</si>
  <si>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</si>
  <si>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</si>
  <si>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</si>
  <si>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</si>
  <si>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</si>
  <si>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</si>
  <si>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</si>
  <si>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</si>
  <si>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</si>
  <si>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</si>
  <si>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</si>
  <si>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</si>
  <si>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</si>
  <si>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</si>
  <si>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</si>
  <si>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</si>
  <si>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</si>
  <si>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</si>
  <si>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</si>
  <si>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</si>
  <si>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</si>
  <si>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</si>
  <si>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</si>
  <si>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</si>
  <si>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</si>
  <si>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</si>
  <si>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</si>
  <si>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</si>
  <si>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</si>
  <si>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</si>
  <si>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</si>
  <si>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</si>
  <si>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</si>
  <si>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</si>
  <si>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</si>
  <si>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</si>
  <si>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</si>
  <si>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</si>
  <si>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</si>
  <si>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</si>
  <si>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</si>
  <si>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</si>
  <si>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</si>
  <si>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</si>
  <si>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</si>
  <si>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</si>
  <si>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</si>
  <si>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</si>
  <si>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</si>
  <si>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</si>
  <si>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</si>
  <si>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</si>
  <si>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</si>
  <si>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</si>
  <si>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</si>
  <si>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</si>
  <si>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</si>
  <si>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</si>
  <si>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</si>
  <si>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</si>
  <si>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</si>
  <si>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</si>
  <si>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</si>
  <si>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</si>
  <si>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</si>
  <si>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</si>
  <si>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</si>
  <si>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</si>
  <si>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</si>
  <si>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</si>
  <si>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</si>
  <si>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</si>
  <si>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</si>
  <si>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</si>
  <si>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</si>
  <si>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</si>
  <si>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</si>
  <si>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</si>
  <si>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</si>
  <si>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</si>
  <si>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</si>
  <si>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</si>
  <si>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</si>
  <si>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</si>
  <si>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</si>
  <si>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</si>
  <si>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</si>
  <si>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</si>
  <si>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</si>
  <si>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</si>
  <si>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</si>
  <si>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</si>
  <si>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</si>
  <si>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</si>
  <si>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</si>
  <si>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</si>
  <si>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</si>
  <si>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</si>
  <si>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</si>
  <si>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</si>
  <si>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</si>
  <si>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</si>
  <si>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</si>
  <si>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</si>
  <si>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</si>
  <si>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</si>
  <si>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</si>
  <si>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</si>
  <si>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</si>
  <si>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</si>
  <si>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</si>
  <si>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</si>
  <si>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</si>
  <si>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</si>
  <si>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</si>
  <si>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</si>
  <si>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</si>
  <si>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</si>
  <si>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</si>
  <si>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</si>
  <si>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</si>
  <si>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</si>
  <si>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</si>
  <si>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</si>
  <si>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</si>
  <si>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</si>
  <si>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</si>
  <si>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</si>
  <si>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</si>
  <si>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</si>
  <si>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</si>
  <si>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</si>
  <si>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</si>
  <si>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</si>
  <si>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</si>
  <si>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</si>
  <si>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</si>
  <si>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</si>
  <si>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</si>
  <si>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</si>
  <si>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</si>
  <si>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</si>
  <si>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</si>
  <si>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</si>
  <si>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</si>
  <si>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</si>
  <si>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</si>
  <si>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</si>
  <si>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</si>
  <si>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</si>
  <si>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</si>
  <si>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</si>
  <si>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</si>
  <si>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</si>
  <si>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</si>
  <si>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</si>
  <si>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</si>
  <si>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</si>
  <si>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</si>
  <si>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</si>
  <si>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</si>
  <si>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</si>
  <si>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</si>
  <si>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</si>
  <si>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</si>
  <si>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</si>
  <si>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</si>
  <si>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</si>
  <si>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</si>
  <si>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</si>
  <si>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</si>
  <si>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</si>
  <si>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</si>
  <si>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</si>
  <si>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</si>
  <si>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</si>
  <si>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</si>
  <si>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</si>
  <si>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</si>
  <si>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</si>
  <si>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</si>
  <si>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</si>
  <si>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</si>
  <si>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</si>
  <si>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</si>
  <si>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</si>
  <si>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</si>
  <si>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</si>
  <si>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</si>
  <si>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</si>
  <si>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</si>
  <si>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</si>
  <si>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</si>
  <si>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</si>
  <si>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</si>
  <si>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</si>
  <si>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</si>
  <si>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</si>
  <si>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</si>
  <si>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</si>
  <si>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</si>
  <si>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</si>
  <si>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</si>
  <si>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</si>
  <si>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</si>
  <si>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</si>
  <si>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</si>
  <si>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</si>
  <si>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</si>
  <si>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</si>
  <si>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</si>
  <si>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</si>
  <si>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</si>
  <si>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</si>
  <si>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</si>
  <si>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</si>
  <si>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</si>
  <si>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</si>
  <si>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</si>
  <si>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</si>
  <si>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</si>
  <si>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</si>
  <si>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</si>
  <si>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</si>
  <si>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</si>
  <si>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</si>
  <si>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</si>
  <si>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</si>
  <si>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</si>
  <si>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</si>
  <si>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</si>
  <si>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</si>
  <si>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</si>
  <si>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</si>
  <si>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</si>
  <si>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</si>
  <si>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</si>
  <si>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</si>
  <si>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</si>
  <si>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</si>
  <si>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</si>
  <si>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</si>
  <si>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</si>
  <si>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</si>
  <si>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</si>
  <si>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</si>
  <si>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</si>
  <si>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</si>
  <si>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</si>
  <si>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</si>
  <si>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</si>
  <si>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</si>
  <si>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</si>
  <si>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</si>
  <si>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</si>
  <si>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</si>
  <si>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</si>
  <si>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</si>
  <si>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</si>
  <si>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</si>
  <si>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</si>
  <si>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</si>
  <si>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</si>
  <si>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</si>
  <si>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</si>
  <si>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</si>
  <si>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</si>
  <si>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</si>
  <si>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</si>
  <si>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</si>
  <si>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</si>
  <si>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</si>
  <si>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</si>
  <si>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</si>
  <si>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</si>
  <si>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</si>
  <si>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</si>
  <si>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</si>
  <si>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</si>
  <si>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</si>
  <si>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</si>
  <si>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</si>
  <si>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</si>
  <si>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</si>
  <si>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</si>
  <si>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</si>
  <si>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</si>
  <si>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</si>
  <si>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</si>
  <si>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</si>
  <si>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</si>
  <si>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</si>
  <si>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</si>
  <si>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</si>
  <si>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</si>
  <si>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</si>
  <si>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</si>
  <si>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</si>
  <si>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</si>
  <si>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</si>
  <si>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</si>
  <si>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</si>
  <si>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</si>
  <si>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</si>
  <si>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</si>
  <si>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</si>
  <si>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</si>
  <si>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</si>
  <si>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</si>
  <si>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</si>
  <si>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</si>
  <si>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</si>
  <si>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</si>
  <si>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</si>
  <si>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</si>
  <si>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</si>
  <si>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</si>
  <si>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</si>
  <si>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</si>
  <si>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</si>
  <si>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</si>
  <si>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</si>
  <si>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</si>
  <si>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</si>
  <si>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</si>
  <si>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</si>
  <si>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</si>
  <si>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</si>
  <si>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</si>
  <si>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</si>
  <si>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</si>
  <si>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</si>
  <si>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</si>
  <si>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</si>
  <si>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</si>
  <si>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</si>
  <si>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</si>
  <si>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</si>
  <si>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</si>
  <si>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</si>
  <si>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</si>
  <si>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</si>
  <si>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</si>
  <si>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</si>
  <si>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</si>
  <si>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</si>
  <si>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</si>
  <si>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</si>
  <si>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</si>
  <si>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</si>
  <si>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</si>
  <si>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</si>
  <si>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</si>
  <si>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</si>
  <si>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</si>
  <si>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</si>
  <si>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</si>
  <si>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</si>
  <si>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</si>
  <si>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</si>
  <si>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</si>
  <si>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</si>
  <si>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</si>
  <si>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</si>
  <si>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</si>
  <si>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</si>
  <si>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</si>
  <si>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</si>
  <si>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</si>
  <si>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</si>
  <si>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</si>
  <si>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</si>
  <si>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</si>
  <si>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</si>
  <si>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</si>
  <si>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</si>
  <si>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</si>
  <si>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</si>
  <si>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</si>
  <si>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</si>
  <si>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</si>
  <si>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</si>
  <si>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</si>
  <si>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</si>
  <si>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</si>
  <si>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</si>
  <si>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</si>
  <si>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</si>
  <si>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</si>
  <si>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</si>
  <si>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</si>
  <si>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</si>
  <si>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</si>
  <si>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</si>
  <si>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</si>
  <si>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</si>
  <si>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</si>
  <si>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</si>
  <si>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</si>
  <si>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</si>
  <si>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</si>
  <si>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</si>
  <si>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</si>
  <si>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</si>
  <si>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</si>
  <si>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</si>
  <si>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</si>
  <si>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</si>
  <si>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</si>
  <si>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</si>
  <si>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</si>
  <si>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</si>
  <si>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</si>
  <si>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</si>
  <si>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</si>
  <si>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</si>
  <si>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</si>
  <si>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</si>
  <si>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</si>
  <si>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</si>
  <si>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</si>
  <si>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</si>
  <si>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</si>
  <si>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</si>
  <si>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</si>
  <si>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</si>
  <si>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</si>
  <si>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</si>
  <si>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</si>
  <si>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</si>
  <si>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</si>
  <si>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</si>
  <si>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</si>
  <si>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</si>
  <si>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</si>
  <si>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</si>
  <si>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</si>
  <si>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</si>
  <si>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</si>
  <si>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</si>
  <si>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</si>
  <si>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</si>
  <si>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</si>
  <si>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</si>
  <si>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</si>
  <si>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</si>
  <si>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</si>
  <si>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</si>
  <si>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</si>
  <si>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</si>
  <si>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</si>
  <si>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</si>
  <si>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</si>
  <si>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</si>
  <si>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</si>
  <si>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</si>
  <si>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</si>
  <si>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</si>
  <si>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</si>
  <si>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</si>
  <si>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</si>
  <si>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</si>
  <si>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</si>
  <si>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</si>
  <si>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</si>
  <si>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</si>
  <si>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</si>
  <si>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</si>
  <si>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</si>
  <si>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</si>
  <si>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</si>
  <si>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</si>
  <si>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</si>
  <si>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</si>
  <si>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</si>
  <si>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</si>
  <si>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</si>
  <si>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</si>
  <si>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</si>
  <si>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</si>
  <si>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</si>
  <si>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</si>
  <si>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</si>
  <si>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</si>
  <si>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</si>
  <si>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</si>
  <si>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</si>
  <si>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</si>
  <si>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</si>
  <si>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</si>
  <si>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</si>
  <si>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</si>
  <si>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</si>
  <si>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</si>
  <si>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</si>
  <si>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</si>
  <si>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</si>
  <si>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</si>
  <si>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</si>
  <si>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</si>
  <si>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</si>
  <si>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</si>
  <si>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</si>
  <si>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</si>
  <si>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</si>
  <si>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</si>
  <si>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</si>
  <si>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</si>
  <si>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</si>
  <si>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</si>
  <si>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</si>
  <si>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</si>
  <si>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</si>
  <si>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</si>
  <si>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</si>
  <si>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</si>
  <si>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</si>
  <si>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</si>
  <si>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</si>
  <si>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</si>
  <si>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</si>
  <si>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</si>
  <si>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</si>
  <si>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</si>
  <si>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</si>
  <si>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</si>
  <si>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</si>
  <si>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</si>
  <si>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</si>
  <si>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</si>
  <si>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</si>
  <si>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</si>
  <si>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</si>
  <si>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</si>
  <si>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</si>
  <si>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</si>
  <si>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</si>
  <si>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</si>
  <si>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</si>
  <si>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</si>
  <si>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</si>
  <si>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</si>
  <si>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</si>
  <si>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</si>
  <si>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</si>
  <si>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</si>
  <si>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</si>
  <si>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</si>
  <si>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</si>
  <si>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</si>
  <si>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</si>
  <si>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</si>
  <si>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</si>
  <si>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</si>
  <si>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</si>
  <si>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</si>
  <si>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</si>
  <si>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</si>
  <si>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</si>
  <si>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</si>
  <si>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</si>
  <si>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</si>
  <si>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</si>
  <si>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</si>
  <si>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</si>
  <si>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</si>
  <si>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</si>
  <si>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</si>
  <si>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</si>
  <si>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</si>
  <si>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</si>
  <si>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</si>
  <si>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</si>
  <si>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</si>
  <si>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</si>
  <si>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</si>
  <si>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</si>
  <si>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</si>
  <si>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</si>
  <si>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</si>
  <si>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</si>
  <si>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</si>
  <si>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</si>
  <si>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</si>
  <si>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</si>
  <si>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</si>
  <si>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</si>
  <si>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</si>
  <si>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</si>
  <si>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</si>
  <si>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</si>
  <si>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</si>
  <si>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</si>
  <si>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</si>
  <si>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</si>
  <si>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</si>
  <si>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</si>
  <si>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</si>
  <si>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</si>
  <si>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</si>
  <si>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</si>
  <si>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</si>
  <si>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</si>
  <si>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</si>
  <si>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</si>
  <si>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</si>
  <si>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</si>
  <si>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</si>
  <si>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</si>
  <si>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</si>
  <si>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</si>
  <si>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</si>
  <si>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</si>
  <si>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</si>
  <si>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</si>
  <si>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</si>
  <si>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</si>
  <si>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</si>
  <si>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</si>
  <si>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</si>
  <si>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</si>
  <si>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</si>
  <si>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</si>
  <si>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</si>
  <si>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</si>
  <si>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</si>
  <si>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</si>
  <si>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</si>
  <si>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</si>
  <si>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</si>
  <si>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</si>
  <si>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</si>
  <si>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</si>
  <si>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</si>
  <si>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</si>
  <si>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</si>
  <si>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</si>
  <si>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</si>
  <si>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</si>
  <si>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</si>
  <si>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</si>
  <si>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</si>
  <si>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</si>
  <si>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</si>
  <si>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</si>
  <si>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</si>
  <si>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</si>
  <si>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</si>
  <si>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</si>
  <si>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</si>
  <si>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</si>
  <si>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</si>
  <si>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</si>
  <si>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</si>
  <si>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</si>
  <si>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</si>
  <si>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</si>
  <si>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</si>
  <si>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</si>
  <si>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</si>
  <si>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</si>
  <si>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</si>
  <si>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</si>
  <si>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</si>
  <si>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</si>
  <si>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</si>
  <si>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</si>
  <si>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</si>
  <si>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</si>
  <si>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</si>
  <si>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</si>
  <si>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</si>
  <si>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</si>
  <si>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</si>
  <si>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</si>
  <si>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</si>
  <si>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</si>
  <si>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</si>
  <si>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</si>
  <si>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</si>
  <si>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</si>
  <si>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</si>
  <si>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</si>
  <si>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</si>
  <si>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</si>
  <si>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</si>
  <si>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</si>
  <si>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</si>
  <si>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</si>
  <si>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</si>
  <si>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</si>
  <si>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</si>
  <si>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</si>
  <si>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</si>
  <si>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</si>
  <si>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</si>
  <si>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</si>
  <si>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</si>
  <si>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</si>
  <si>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</si>
  <si>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</si>
  <si>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</si>
  <si>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</si>
  <si>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</si>
  <si>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</si>
  <si>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</si>
  <si>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</si>
  <si>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</si>
  <si>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</si>
  <si>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</si>
  <si>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</si>
  <si>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</si>
  <si>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</si>
  <si>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</si>
  <si>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</si>
  <si>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</si>
  <si>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</si>
  <si>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</si>
  <si>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</si>
  <si>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</si>
  <si>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</si>
  <si>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</si>
  <si>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</si>
  <si>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</si>
  <si>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</si>
  <si>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</si>
  <si>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</si>
  <si>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</si>
  <si>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</si>
  <si>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</si>
  <si>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</si>
  <si>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</si>
  <si>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</si>
  <si>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</si>
  <si>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</si>
  <si>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</si>
  <si>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</si>
  <si>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</si>
  <si>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</si>
  <si>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</si>
  <si>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</si>
  <si>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</si>
  <si>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</si>
  <si>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</si>
  <si>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</si>
  <si>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</si>
  <si>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</si>
  <si>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</si>
  <si>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</si>
  <si>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</si>
  <si>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</si>
  <si>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</si>
  <si>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</si>
  <si>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</si>
  <si>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</si>
  <si>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</si>
  <si>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</si>
  <si>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</si>
  <si>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</si>
  <si>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</si>
  <si>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</si>
  <si>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</si>
  <si>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</si>
  <si>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</si>
  <si>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</si>
  <si>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</si>
  <si>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</si>
  <si>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</si>
  <si>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</si>
  <si>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</si>
  <si>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</si>
  <si>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</si>
  <si>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</si>
  <si>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</si>
  <si>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</si>
  <si>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</si>
  <si>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</si>
  <si>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</si>
  <si>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</si>
  <si>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</si>
  <si>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</si>
  <si>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</si>
  <si>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</si>
  <si>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</si>
  <si>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</si>
  <si>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</si>
  <si>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</si>
  <si>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</si>
  <si>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</si>
  <si>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</si>
  <si>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</si>
  <si>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</si>
  <si>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</si>
  <si>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</si>
  <si>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</si>
  <si>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</si>
  <si>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</si>
  <si>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</si>
  <si>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</si>
  <si>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</si>
  <si>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</si>
  <si>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</si>
  <si>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</si>
  <si>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</si>
  <si>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</si>
  <si>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</si>
  <si>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</si>
  <si>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</si>
  <si>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</si>
  <si>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</si>
  <si>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</si>
  <si>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</si>
  <si>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</si>
  <si>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</si>
  <si>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</si>
  <si>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</si>
  <si>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</si>
  <si>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</si>
  <si>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</si>
  <si>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</si>
  <si>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</si>
  <si>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</si>
  <si>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</si>
  <si>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</si>
  <si>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</si>
  <si>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</si>
  <si>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</si>
  <si>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</si>
  <si>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</si>
  <si>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</si>
  <si>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</si>
  <si>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</si>
  <si>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</si>
  <si>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</si>
  <si>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</si>
  <si>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</si>
  <si>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</si>
  <si>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</si>
  <si>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</si>
  <si>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</si>
  <si>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</si>
  <si>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</si>
  <si>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</si>
  <si>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</si>
  <si>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</si>
  <si>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</si>
  <si>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</si>
  <si>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</si>
  <si>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</si>
  <si>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</si>
  <si>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</si>
  <si>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</si>
  <si>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</si>
  <si>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</si>
  <si>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</si>
  <si>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</si>
  <si>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</si>
  <si>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</si>
  <si>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</si>
  <si>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</si>
  <si>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</si>
  <si>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</si>
  <si>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</si>
  <si>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</si>
  <si>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</si>
  <si>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</si>
  <si>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</si>
  <si>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</si>
  <si>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</si>
  <si>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</si>
  <si>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</si>
  <si>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</si>
  <si>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</si>
  <si>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</si>
  <si>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</si>
  <si>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</si>
  <si>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</si>
  <si>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</si>
  <si>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</si>
  <si>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</si>
  <si>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</si>
  <si>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</si>
  <si>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</si>
  <si>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</si>
  <si>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</si>
  <si>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</si>
  <si>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</si>
  <si>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</si>
  <si>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</si>
  <si>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</si>
  <si>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</si>
  <si>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</si>
  <si>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</si>
  <si>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</si>
  <si>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</si>
  <si>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</si>
  <si>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</si>
  <si>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</si>
  <si>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</si>
  <si>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</si>
  <si>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</si>
  <si>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</si>
  <si>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</si>
  <si>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</si>
  <si>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</si>
  <si>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</si>
  <si>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</si>
  <si>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</si>
  <si>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</si>
  <si>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</si>
  <si>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</si>
  <si>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</si>
  <si>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</si>
  <si>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</si>
  <si>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</si>
  <si>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</si>
  <si>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</si>
  <si>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</si>
  <si>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</si>
  <si>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</si>
  <si>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</si>
  <si>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</si>
  <si>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</si>
  <si>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</si>
  <si>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</si>
  <si>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</si>
  <si>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</si>
  <si>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</si>
  <si>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</si>
  <si>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</si>
  <si>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</si>
  <si>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</si>
  <si>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</si>
  <si>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</si>
  <si>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</si>
  <si>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</si>
  <si>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</si>
  <si>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</si>
  <si>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</si>
  <si>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</si>
  <si>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</si>
  <si>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</si>
  <si>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</si>
  <si>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</si>
  <si>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</si>
  <si>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</si>
  <si>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</si>
  <si>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</si>
  <si>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</si>
  <si>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</si>
  <si>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</si>
  <si>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</si>
  <si>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</si>
  <si>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</si>
  <si>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</si>
  <si>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</si>
  <si>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</si>
  <si>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</si>
  <si>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</si>
  <si>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</si>
  <si>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</si>
  <si>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</si>
  <si>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</si>
  <si>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</si>
  <si>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</si>
  <si>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</si>
  <si>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</si>
  <si>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</si>
  <si>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</si>
  <si>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</si>
  <si>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</si>
  <si>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</si>
  <si>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</si>
  <si>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</si>
  <si>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</si>
  <si>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</si>
  <si>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</si>
  <si>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</si>
  <si>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</si>
  <si>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</si>
  <si>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</si>
  <si>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</si>
  <si>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</si>
  <si>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</si>
  <si>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</si>
  <si>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</si>
  <si>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</si>
  <si>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</si>
  <si>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</si>
  <si>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</si>
  <si>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</si>
  <si>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</si>
  <si>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</si>
  <si>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</si>
  <si>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</si>
  <si>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</si>
  <si>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</si>
  <si>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</si>
  <si>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</si>
  <si>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</si>
  <si>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</si>
  <si>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</si>
  <si>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</si>
  <si>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</si>
  <si>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</si>
  <si>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</si>
  <si>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</si>
  <si>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</si>
  <si>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</si>
  <si>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</si>
  <si>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</si>
  <si>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</si>
  <si>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</si>
  <si>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</si>
  <si>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</si>
  <si>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</si>
  <si>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</si>
  <si>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</si>
  <si>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</si>
  <si>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</si>
  <si>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</si>
  <si>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</si>
  <si>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</si>
  <si>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</si>
  <si>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</si>
  <si>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</si>
  <si>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</si>
  <si>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</si>
  <si>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</si>
  <si>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</si>
  <si>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</si>
  <si>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</si>
  <si>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</si>
  <si>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</si>
  <si>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</si>
  <si>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</si>
  <si>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</si>
  <si>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</si>
  <si>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</si>
  <si>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</si>
  <si>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</si>
  <si>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</si>
  <si>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</si>
  <si>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</si>
  <si>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</si>
  <si>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</si>
  <si>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</si>
  <si>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</si>
  <si>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</si>
  <si>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</si>
  <si>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</si>
  <si>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</si>
  <si>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</si>
  <si>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</si>
  <si>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</si>
  <si>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</si>
  <si>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</si>
  <si>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</si>
  <si>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</si>
  <si>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</si>
  <si>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</si>
  <si>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</si>
  <si>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</si>
  <si>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</si>
  <si>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</si>
  <si>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</si>
  <si>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</si>
  <si>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</si>
  <si>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</si>
  <si>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</si>
  <si>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</si>
  <si>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</si>
  <si>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</si>
  <si>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</si>
  <si>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</si>
  <si>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</si>
  <si>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</si>
  <si>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</si>
  <si>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</si>
  <si>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</si>
  <si>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</si>
  <si>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</si>
  <si>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</si>
  <si>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</si>
  <si>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</si>
  <si>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</si>
  <si>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</si>
  <si>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</si>
  <si>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</si>
  <si>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</si>
  <si>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</si>
  <si>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</si>
  <si>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</si>
  <si>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</si>
  <si>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</si>
  <si>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</si>
  <si>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</si>
  <si>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</si>
  <si>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</si>
  <si>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</si>
  <si>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</si>
  <si>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</si>
  <si>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</si>
  <si>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</si>
  <si>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</si>
  <si>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</si>
  <si>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</si>
  <si>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</si>
  <si>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</si>
  <si>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</si>
  <si>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</si>
  <si>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</si>
  <si>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</si>
  <si>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</si>
  <si>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</si>
  <si>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</si>
  <si>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</si>
  <si>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</si>
  <si>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</si>
  <si>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</si>
  <si>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</si>
  <si>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</si>
  <si>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</si>
  <si>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</si>
  <si>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</si>
  <si>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</si>
  <si>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</si>
  <si>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</si>
  <si>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</si>
  <si>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</si>
  <si>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</si>
  <si>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</si>
  <si>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</si>
  <si>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</si>
  <si>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</si>
  <si>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</si>
  <si>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</si>
  <si>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</si>
  <si>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</si>
  <si>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</si>
  <si>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</si>
  <si>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</si>
  <si>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</si>
  <si>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</si>
  <si>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</si>
  <si>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</si>
  <si>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</si>
  <si>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</si>
  <si>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</si>
  <si>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</si>
  <si>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</si>
  <si>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</si>
  <si>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</si>
  <si>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</si>
  <si>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</si>
  <si>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</si>
  <si>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</si>
  <si>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</si>
  <si>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</si>
  <si>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</si>
  <si>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</si>
  <si>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</si>
  <si>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</si>
  <si>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</si>
  <si>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</si>
  <si>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</si>
  <si>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</si>
  <si>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</si>
  <si>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</si>
  <si>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</si>
  <si>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</si>
  <si>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</si>
  <si>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</si>
  <si>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</si>
  <si>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</si>
  <si>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</si>
  <si>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</si>
  <si>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</si>
  <si>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</si>
  <si>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</si>
  <si>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</si>
  <si>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</si>
  <si>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</si>
  <si>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</si>
  <si>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</si>
  <si>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</si>
  <si>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</si>
  <si>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</si>
  <si>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</si>
  <si>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</si>
  <si>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</si>
  <si>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</si>
  <si>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</si>
  <si>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</si>
  <si>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</si>
  <si>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</si>
  <si>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</si>
  <si>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</si>
  <si>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</si>
  <si>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</si>
  <si>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</si>
  <si>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</si>
  <si>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</si>
  <si>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</si>
  <si>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</si>
  <si>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</si>
  <si>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</si>
  <si>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</si>
  <si>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</si>
  <si>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</si>
  <si>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</si>
  <si>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</si>
  <si>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</si>
  <si>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</si>
  <si>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</si>
  <si>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</si>
  <si>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</si>
  <si>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</si>
  <si>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</si>
  <si>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</si>
  <si>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</si>
  <si>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</si>
  <si>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</si>
  <si>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</si>
  <si>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</si>
  <si>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</si>
  <si>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</si>
  <si>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</si>
  <si>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</si>
  <si>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</si>
  <si>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</si>
  <si>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</si>
  <si>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</si>
  <si>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</si>
  <si>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</si>
  <si>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</si>
  <si>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</si>
  <si>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</si>
  <si>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</si>
  <si>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</si>
  <si>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</si>
  <si>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</si>
  <si>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</si>
  <si>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</si>
  <si>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</si>
  <si>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</si>
  <si>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</si>
  <si>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</si>
  <si>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</si>
  <si>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</si>
  <si>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</si>
  <si>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</si>
  <si>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</si>
  <si>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</si>
  <si>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</si>
  <si>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</si>
  <si>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</si>
  <si>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</si>
  <si>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</si>
  <si>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</si>
  <si>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</si>
  <si>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</si>
  <si>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</si>
  <si>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</si>
  <si>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</si>
  <si>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</si>
  <si>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</si>
  <si>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</si>
  <si>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</si>
  <si>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</si>
  <si>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</si>
  <si>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</si>
  <si>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</si>
  <si>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</si>
  <si>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</si>
  <si>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</si>
  <si>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</si>
  <si>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</si>
  <si>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</si>
  <si>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</si>
  <si>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</si>
  <si>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</si>
  <si>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</si>
  <si>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</si>
  <si>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</si>
  <si>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</si>
  <si>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</si>
  <si>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</si>
  <si>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</si>
  <si>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</si>
  <si>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</si>
  <si>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</si>
  <si>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</si>
  <si>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</si>
  <si>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</si>
  <si>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</si>
  <si>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</si>
  <si>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</si>
  <si>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</si>
  <si>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</si>
  <si>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</si>
  <si>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</si>
  <si>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</si>
  <si>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</si>
  <si>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</si>
  <si>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</si>
  <si>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</si>
  <si>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</si>
  <si>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</si>
  <si>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INSTITUTO MUNICIPAL DE VIVIENDA DE DOLORES HIDALGO, CIN, GTO.</t>
  </si>
  <si>
    <t xml:space="preserve"> -   </t>
  </si>
  <si>
    <t>Al 31 de diciembre de 2019 y al 31 de diciembre de 2020 (b)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</si>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</sst>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20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" fontId="0" fillId="0" borderId="13" xfId="0" applyNumberFormat="1" applyFill="1" applyBorder="1" applyProtection="1"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15" fillId="0" borderId="8" xfId="1" applyFont="1" applyFill="1" applyBorder="1" applyAlignment="1" applyProtection="1">
      <alignment vertical="center"/>
      <protection locked="0"/>
    </xf>
    <xf numFmtId="43" fontId="15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3" fontId="0" fillId="4" borderId="13" xfId="0" applyNumberFormat="1" applyFill="1" applyBorder="1" applyAlignment="1" applyProtection="1">
      <alignment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62" t="s">
        <v>829</v>
      </c>
      <c r="B1" s="163"/>
      <c r="C1" s="163"/>
      <c r="D1" s="163"/>
      <c r="E1" s="164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65" t="s">
        <v>3302</v>
      </c>
      <c r="D3" s="165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A58" workbookViewId="0">
      <selection activeCell="D73" sqref="D73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78" t="s">
        <v>542</v>
      </c>
      <c r="B1" s="178"/>
      <c r="C1" s="178"/>
      <c r="D1" s="178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66" t="str">
        <f>ENTE_PUBLICO_A</f>
        <v>INSTITUTO MUNICIPAL DE VIVIENDA DE DOLORES HIDALGO, CIN, GTO., Gobierno del Estado de Guanajuato (a)</v>
      </c>
      <c r="B2" s="167"/>
      <c r="C2" s="167"/>
      <c r="D2" s="168"/>
    </row>
    <row r="3" spans="1:11" ht="14.25" x14ac:dyDescent="0.45">
      <c r="A3" s="169" t="s">
        <v>166</v>
      </c>
      <c r="B3" s="170"/>
      <c r="C3" s="170"/>
      <c r="D3" s="171"/>
    </row>
    <row r="4" spans="1:11" ht="14.25" x14ac:dyDescent="0.45">
      <c r="A4" s="172" t="str">
        <f>TRIMESTRE</f>
        <v>Del 1 de enero al 31 de diciembre de 2020 (b)</v>
      </c>
      <c r="B4" s="173"/>
      <c r="C4" s="173"/>
      <c r="D4" s="174"/>
    </row>
    <row r="5" spans="1:11" ht="14.25" x14ac:dyDescent="0.45">
      <c r="A5" s="175" t="s">
        <v>118</v>
      </c>
      <c r="B5" s="176"/>
      <c r="C5" s="176"/>
      <c r="D5" s="177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4388232.4000000004</v>
      </c>
      <c r="C8" s="40">
        <f t="shared" ref="C8:D8" si="0">SUM(C9:C11)</f>
        <v>6094638.9800000004</v>
      </c>
      <c r="D8" s="40">
        <f t="shared" si="0"/>
        <v>6094638.9800000004</v>
      </c>
    </row>
    <row r="9" spans="1:11" x14ac:dyDescent="0.25">
      <c r="A9" s="53" t="s">
        <v>169</v>
      </c>
      <c r="B9" s="151">
        <v>4388232.4000000004</v>
      </c>
      <c r="C9" s="151">
        <v>6094638.9800000004</v>
      </c>
      <c r="D9" s="151">
        <v>6094638.9800000004</v>
      </c>
    </row>
    <row r="10" spans="1:11" ht="14.25" customHeight="1" x14ac:dyDescent="0.25">
      <c r="A10" s="53" t="s">
        <v>170</v>
      </c>
      <c r="B10" s="23" t="s">
        <v>3303</v>
      </c>
      <c r="C10" s="23" t="s">
        <v>3303</v>
      </c>
      <c r="D10" s="23" t="s">
        <v>3303</v>
      </c>
    </row>
    <row r="11" spans="1:11" ht="14.25" customHeight="1" x14ac:dyDescent="0.25">
      <c r="A11" s="53" t="s">
        <v>171</v>
      </c>
      <c r="B11" s="23"/>
      <c r="C11" s="23"/>
      <c r="D11" s="23"/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17638121.23</v>
      </c>
      <c r="C13" s="40">
        <f t="shared" ref="C13:D13" si="1">C14+C15</f>
        <v>10393695.6</v>
      </c>
      <c r="D13" s="40">
        <f t="shared" si="1"/>
        <v>5947038.1399999997</v>
      </c>
    </row>
    <row r="14" spans="1:11" x14ac:dyDescent="0.25">
      <c r="A14" s="53" t="s">
        <v>172</v>
      </c>
      <c r="B14" s="151">
        <v>4388232.4000000004</v>
      </c>
      <c r="C14" s="151">
        <v>7165701.4699999997</v>
      </c>
      <c r="D14" s="151">
        <v>4717982.3099999996</v>
      </c>
    </row>
    <row r="15" spans="1:11" x14ac:dyDescent="0.25">
      <c r="A15" s="53" t="s">
        <v>173</v>
      </c>
      <c r="B15" s="151">
        <v>13249888.83</v>
      </c>
      <c r="C15" s="151">
        <v>3227994.13</v>
      </c>
      <c r="D15" s="151">
        <v>1229055.83</v>
      </c>
    </row>
    <row r="16" spans="1:11" x14ac:dyDescent="0.2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2">C18+C19</f>
        <v>4072374</v>
      </c>
      <c r="D17" s="40">
        <f>D18+D19</f>
        <v>4072374</v>
      </c>
    </row>
    <row r="18" spans="1:4" x14ac:dyDescent="0.25">
      <c r="A18" s="53" t="s">
        <v>175</v>
      </c>
      <c r="B18" s="119">
        <v>0</v>
      </c>
      <c r="C18" s="23">
        <v>4072374</v>
      </c>
      <c r="D18" s="23">
        <v>4072374</v>
      </c>
    </row>
    <row r="19" spans="1:4" ht="14.25" x14ac:dyDescent="0.45">
      <c r="A19" s="53" t="s">
        <v>176</v>
      </c>
      <c r="B19" s="119">
        <v>0</v>
      </c>
      <c r="C19" s="23"/>
      <c r="D19" s="117"/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-13249888.83</v>
      </c>
      <c r="C21" s="40">
        <f t="shared" ref="C21:D21" si="3">C8-C13+C17</f>
        <v>-226682.61999999918</v>
      </c>
      <c r="D21" s="40">
        <f t="shared" si="3"/>
        <v>4219974.8400000008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-13249888.83</v>
      </c>
      <c r="C23" s="40">
        <f t="shared" ref="C23:D23" si="4">C21-C11</f>
        <v>-226682.61999999918</v>
      </c>
      <c r="D23" s="40">
        <f t="shared" si="4"/>
        <v>4219974.8400000008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20" t="s">
        <v>179</v>
      </c>
      <c r="B25" s="40">
        <f>B23-B17</f>
        <v>-13249888.83</v>
      </c>
      <c r="C25" s="40">
        <f t="shared" ref="C25" si="5">C23-C17</f>
        <v>-4299056.6199999992</v>
      </c>
      <c r="D25" s="40">
        <f>D23-D17</f>
        <v>147600.84000000078</v>
      </c>
    </row>
    <row r="26" spans="1:4" ht="14.25" x14ac:dyDescent="0.45">
      <c r="A26" s="121"/>
      <c r="B26" s="13"/>
      <c r="C26" s="13"/>
      <c r="D26" s="13"/>
    </row>
    <row r="27" spans="1:4" ht="14.25" x14ac:dyDescent="0.45">
      <c r="A27" s="90"/>
    </row>
    <row r="28" spans="1:4" ht="30" customHeight="1" x14ac:dyDescent="0.4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187</v>
      </c>
      <c r="B30" s="60"/>
      <c r="C30" s="60"/>
      <c r="D30" s="60"/>
    </row>
    <row r="31" spans="1:4" x14ac:dyDescent="0.25">
      <c r="A31" s="53" t="s">
        <v>188</v>
      </c>
      <c r="B31" s="60"/>
      <c r="C31" s="60"/>
      <c r="D31" s="60"/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-13249888.83</v>
      </c>
      <c r="C33" s="61">
        <f t="shared" ref="C33:D33" si="7">C25+C29</f>
        <v>-4299056.6199999992</v>
      </c>
      <c r="D33" s="61">
        <f t="shared" si="7"/>
        <v>147600.84000000078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60"/>
      <c r="C38" s="60"/>
      <c r="D38" s="60"/>
    </row>
    <row r="39" spans="1:4" x14ac:dyDescent="0.25">
      <c r="A39" s="53" t="s">
        <v>193</v>
      </c>
      <c r="B39" s="60"/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60"/>
      <c r="C41" s="60"/>
      <c r="D41" s="60"/>
    </row>
    <row r="42" spans="1:4" x14ac:dyDescent="0.25">
      <c r="A42" s="53" t="s">
        <v>196</v>
      </c>
      <c r="B42" s="60"/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4388232.4000000004</v>
      </c>
      <c r="C48" s="124">
        <f>C9</f>
        <v>6094638.9800000004</v>
      </c>
      <c r="D48" s="124">
        <f t="shared" ref="D48" si="11">D9</f>
        <v>6094638.9800000004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8" t="s">
        <v>192</v>
      </c>
      <c r="B50" s="60"/>
      <c r="C50" s="60"/>
      <c r="D50" s="60">
        <v>1</v>
      </c>
    </row>
    <row r="51" spans="1:4" x14ac:dyDescent="0.25">
      <c r="A51" s="128" t="s">
        <v>195</v>
      </c>
      <c r="B51" s="60"/>
      <c r="C51" s="60"/>
      <c r="D51" s="60">
        <v>1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152">
        <v>4388232.4000000004</v>
      </c>
      <c r="C53" s="152">
        <v>7165701.4699999997</v>
      </c>
      <c r="D53" s="152">
        <v>4717982.3099999996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3">C18</f>
        <v>4072374</v>
      </c>
      <c r="D55" s="60">
        <f t="shared" si="13"/>
        <v>4072374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3001311.5100000007</v>
      </c>
      <c r="D57" s="61">
        <f t="shared" ref="D57" si="14">D48+D49-D53+D55</f>
        <v>5449030.6700000009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5">C57-C49</f>
        <v>3001311.5100000007</v>
      </c>
      <c r="D59" s="61">
        <f t="shared" si="15"/>
        <v>5449030.6700000009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 t="str">
        <f>B10</f>
        <v xml:space="preserve"> -   </v>
      </c>
      <c r="C63" s="122" t="str">
        <f t="shared" ref="C63:D63" si="16">C10</f>
        <v xml:space="preserve"> -   </v>
      </c>
      <c r="D63" s="122" t="str">
        <f t="shared" si="16"/>
        <v xml:space="preserve"> -   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7">C65-C66</f>
        <v>0</v>
      </c>
      <c r="D64" s="40">
        <f t="shared" si="17"/>
        <v>0</v>
      </c>
    </row>
    <row r="65" spans="1:4" x14ac:dyDescent="0.25">
      <c r="A65" s="128" t="s">
        <v>193</v>
      </c>
      <c r="B65" s="23"/>
      <c r="C65" s="23"/>
      <c r="D65" s="23"/>
    </row>
    <row r="66" spans="1:4" x14ac:dyDescent="0.25">
      <c r="A66" s="128" t="s">
        <v>196</v>
      </c>
      <c r="B66" s="23"/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151">
        <v>13249888.83</v>
      </c>
      <c r="C68" s="151">
        <v>3227994.13</v>
      </c>
      <c r="D68" s="151">
        <v>1229055.83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18">C19</f>
        <v>0</v>
      </c>
      <c r="D70" s="23">
        <f t="shared" si="18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v>13249888.83</v>
      </c>
      <c r="C72" s="40">
        <v>3227994.13</v>
      </c>
      <c r="D72" s="40">
        <v>1229055.83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13249888.83</v>
      </c>
      <c r="C74" s="40">
        <f>C72-C64</f>
        <v>3227994.13</v>
      </c>
      <c r="D74" s="40">
        <f t="shared" ref="D74" si="19">D72-D64</f>
        <v>1229055.83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4388232.4000000004</v>
      </c>
      <c r="Q2" s="18">
        <f>'Formato 4'!C8</f>
        <v>6094638.9800000004</v>
      </c>
      <c r="R2" s="18">
        <f>'Formato 4'!D8</f>
        <v>6094638.9800000004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4388232.4000000004</v>
      </c>
      <c r="Q3" s="18">
        <f>'Formato 4'!C9</f>
        <v>6094638.9800000004</v>
      </c>
      <c r="R3" s="18">
        <f>'Formato 4'!D9</f>
        <v>6094638.9800000004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 t="str">
        <f>'Formato 4'!B10</f>
        <v xml:space="preserve"> -   </v>
      </c>
      <c r="Q4" s="18" t="str">
        <f>'Formato 4'!C10</f>
        <v xml:space="preserve"> -   </v>
      </c>
      <c r="R4" s="18" t="str">
        <f>'Formato 4'!D10</f>
        <v xml:space="preserve"> -   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17638121.23</v>
      </c>
      <c r="Q6" s="18">
        <f>'Formato 4'!C13</f>
        <v>10393695.6</v>
      </c>
      <c r="R6" s="18">
        <f>'Formato 4'!D13</f>
        <v>5947038.1399999997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4388232.4000000004</v>
      </c>
      <c r="Q7" s="18">
        <f>'Formato 4'!C14</f>
        <v>7165701.4699999997</v>
      </c>
      <c r="R7" s="18">
        <f>'Formato 4'!D14</f>
        <v>4717982.3099999996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13249888.83</v>
      </c>
      <c r="Q8" s="18">
        <f>'Formato 4'!C15</f>
        <v>3227994.13</v>
      </c>
      <c r="R8" s="18">
        <f>'Formato 4'!D15</f>
        <v>1229055.83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4072374</v>
      </c>
      <c r="R9" s="18">
        <f>'Formato 4'!D17</f>
        <v>4072374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4072374</v>
      </c>
      <c r="R10" s="18">
        <f>'Formato 4'!D18</f>
        <v>4072374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-13249888.83</v>
      </c>
      <c r="Q12" s="18">
        <f>'Formato 4'!C21</f>
        <v>-226682.61999999918</v>
      </c>
      <c r="R12" s="18">
        <f>'Formato 4'!D21</f>
        <v>4219974.8400000008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-13249888.83</v>
      </c>
      <c r="Q13" s="18">
        <f>'Formato 4'!C23</f>
        <v>-226682.61999999918</v>
      </c>
      <c r="R13" s="18">
        <f>'Formato 4'!D23</f>
        <v>4219974.8400000008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-13249888.83</v>
      </c>
      <c r="Q14" s="18">
        <f>'Formato 4'!C25</f>
        <v>-4299056.6199999992</v>
      </c>
      <c r="R14" s="18">
        <f>'Formato 4'!D25</f>
        <v>147600.84000000078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-13249888.83</v>
      </c>
      <c r="Q18">
        <f>'Formato 4'!C33</f>
        <v>-4299056.6199999992</v>
      </c>
      <c r="R18">
        <f>'Formato 4'!D33</f>
        <v>147600.84000000078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4388232.4000000004</v>
      </c>
      <c r="Q26">
        <f>'Formato 4'!C48</f>
        <v>6094638.9800000004</v>
      </c>
      <c r="R26">
        <f>'Formato 4'!D48</f>
        <v>6094638.9800000004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1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1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4388232.4000000004</v>
      </c>
      <c r="Q30">
        <f>'Formato 4'!C53</f>
        <v>7165701.4699999997</v>
      </c>
      <c r="R30">
        <f>'Formato 4'!D53</f>
        <v>4717982.3099999996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4072374</v>
      </c>
      <c r="R31">
        <f>'Formato 4'!D55</f>
        <v>4072374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 t="str">
        <f>'Formato 4'!B63</f>
        <v xml:space="preserve"> -   </v>
      </c>
      <c r="Q32" t="str">
        <f>'Formato 4'!C63</f>
        <v xml:space="preserve"> -   </v>
      </c>
      <c r="R32" t="str">
        <f>'Formato 4'!D63</f>
        <v xml:space="preserve"> -   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13249888.83</v>
      </c>
      <c r="Q36">
        <f>'Formato 4'!C68</f>
        <v>3227994.13</v>
      </c>
      <c r="R36">
        <f>'Formato 4'!D68</f>
        <v>1229055.83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13249888.83</v>
      </c>
      <c r="Q38">
        <f>'Formato 4'!C72</f>
        <v>3227994.13</v>
      </c>
      <c r="R38">
        <f>'Formato 4'!D72</f>
        <v>1229055.83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13249888.83</v>
      </c>
      <c r="Q39">
        <f>'Formato 4'!C74</f>
        <v>3227994.13</v>
      </c>
      <c r="R39">
        <f>'Formato 4'!D74</f>
        <v>1229055.83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46" zoomScale="85" zoomScaleNormal="85" workbookViewId="0">
      <selection activeCell="G70" sqref="G70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84" t="s">
        <v>206</v>
      </c>
      <c r="B1" s="184"/>
      <c r="C1" s="184"/>
      <c r="D1" s="184"/>
      <c r="E1" s="184"/>
      <c r="F1" s="184"/>
      <c r="G1" s="184"/>
    </row>
    <row r="2" spans="1:8" ht="14.25" x14ac:dyDescent="0.45">
      <c r="A2" s="166" t="str">
        <f>ENTE_PUBLICO_A</f>
        <v>INSTITUTO MUNICIPAL DE VIVIENDA DE DOLORES HIDALGO, CIN, GTO., Gobierno del Estado de Guanajuato (a)</v>
      </c>
      <c r="B2" s="167"/>
      <c r="C2" s="167"/>
      <c r="D2" s="167"/>
      <c r="E2" s="167"/>
      <c r="F2" s="167"/>
      <c r="G2" s="168"/>
    </row>
    <row r="3" spans="1:8" x14ac:dyDescent="0.25">
      <c r="A3" s="169" t="s">
        <v>207</v>
      </c>
      <c r="B3" s="170"/>
      <c r="C3" s="170"/>
      <c r="D3" s="170"/>
      <c r="E3" s="170"/>
      <c r="F3" s="170"/>
      <c r="G3" s="171"/>
    </row>
    <row r="4" spans="1:8" ht="14.25" x14ac:dyDescent="0.45">
      <c r="A4" s="172" t="str">
        <f>TRIMESTRE</f>
        <v>Del 1 de enero al 31 de diciembre de 2020 (b)</v>
      </c>
      <c r="B4" s="173"/>
      <c r="C4" s="173"/>
      <c r="D4" s="173"/>
      <c r="E4" s="173"/>
      <c r="F4" s="173"/>
      <c r="G4" s="174"/>
    </row>
    <row r="5" spans="1:8" ht="14.25" x14ac:dyDescent="0.45">
      <c r="A5" s="175" t="s">
        <v>118</v>
      </c>
      <c r="B5" s="176"/>
      <c r="C5" s="176"/>
      <c r="D5" s="176"/>
      <c r="E5" s="176"/>
      <c r="F5" s="176"/>
      <c r="G5" s="177"/>
    </row>
    <row r="6" spans="1:8" x14ac:dyDescent="0.25">
      <c r="A6" s="181" t="s">
        <v>214</v>
      </c>
      <c r="B6" s="183" t="s">
        <v>208</v>
      </c>
      <c r="C6" s="183"/>
      <c r="D6" s="183"/>
      <c r="E6" s="183"/>
      <c r="F6" s="183"/>
      <c r="G6" s="183" t="s">
        <v>209</v>
      </c>
    </row>
    <row r="7" spans="1:8" ht="30" x14ac:dyDescent="0.25">
      <c r="A7" s="182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83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customHeight="1" x14ac:dyDescent="0.25">
      <c r="A9" s="53" t="s">
        <v>216</v>
      </c>
      <c r="B9" s="60" t="s">
        <v>3303</v>
      </c>
      <c r="C9" s="60" t="s">
        <v>3303</v>
      </c>
      <c r="D9" s="60" t="s">
        <v>3303</v>
      </c>
      <c r="E9" s="60" t="s">
        <v>3303</v>
      </c>
      <c r="F9" s="60" t="s">
        <v>3303</v>
      </c>
      <c r="G9" s="60" t="s">
        <v>3303</v>
      </c>
      <c r="H9" s="8"/>
    </row>
    <row r="10" spans="1:8" ht="14.25" customHeight="1" x14ac:dyDescent="0.25">
      <c r="A10" s="53" t="s">
        <v>217</v>
      </c>
      <c r="B10" s="60" t="s">
        <v>3303</v>
      </c>
      <c r="C10" s="60" t="s">
        <v>3303</v>
      </c>
      <c r="D10" s="60" t="s">
        <v>3303</v>
      </c>
      <c r="E10" s="60" t="s">
        <v>3303</v>
      </c>
      <c r="F10" s="60" t="s">
        <v>3303</v>
      </c>
      <c r="G10" s="60" t="s">
        <v>3303</v>
      </c>
    </row>
    <row r="11" spans="1:8" ht="14.25" customHeight="1" x14ac:dyDescent="0.25">
      <c r="A11" s="53" t="s">
        <v>218</v>
      </c>
      <c r="B11" s="60" t="s">
        <v>3303</v>
      </c>
      <c r="C11" s="60" t="s">
        <v>3303</v>
      </c>
      <c r="D11" s="60" t="s">
        <v>3303</v>
      </c>
      <c r="E11" s="60" t="s">
        <v>3303</v>
      </c>
      <c r="F11" s="60" t="s">
        <v>3303</v>
      </c>
      <c r="G11" s="60" t="s">
        <v>3303</v>
      </c>
    </row>
    <row r="12" spans="1:8" ht="14.25" customHeight="1" x14ac:dyDescent="0.25">
      <c r="A12" s="53" t="s">
        <v>219</v>
      </c>
      <c r="B12" s="60" t="s">
        <v>3303</v>
      </c>
      <c r="C12" s="60" t="s">
        <v>3303</v>
      </c>
      <c r="D12" s="60" t="s">
        <v>3303</v>
      </c>
      <c r="E12" s="60" t="s">
        <v>3303</v>
      </c>
      <c r="F12" s="60" t="s">
        <v>3303</v>
      </c>
      <c r="G12" s="60" t="s">
        <v>3303</v>
      </c>
    </row>
    <row r="13" spans="1:8" ht="14.25" customHeight="1" x14ac:dyDescent="0.25">
      <c r="A13" s="53" t="s">
        <v>220</v>
      </c>
      <c r="B13" s="154">
        <v>1590857.01</v>
      </c>
      <c r="C13" s="154">
        <v>0</v>
      </c>
      <c r="D13" s="153">
        <f t="shared" ref="D13:D15" si="0">B13+C13</f>
        <v>1590857.01</v>
      </c>
      <c r="E13" s="154">
        <v>1082104.71</v>
      </c>
      <c r="F13" s="154">
        <v>1082104.71</v>
      </c>
      <c r="G13" s="153">
        <f t="shared" ref="G13:G15" si="1">F13-B13</f>
        <v>-508752.30000000005</v>
      </c>
    </row>
    <row r="14" spans="1:8" ht="14.25" customHeight="1" x14ac:dyDescent="0.25">
      <c r="A14" s="53" t="s">
        <v>221</v>
      </c>
      <c r="B14" s="154">
        <v>0</v>
      </c>
      <c r="C14" s="154">
        <v>0</v>
      </c>
      <c r="D14" s="153">
        <f t="shared" si="0"/>
        <v>0</v>
      </c>
      <c r="E14" s="154">
        <v>0</v>
      </c>
      <c r="F14" s="154">
        <v>0</v>
      </c>
      <c r="G14" s="153">
        <f t="shared" si="1"/>
        <v>0</v>
      </c>
    </row>
    <row r="15" spans="1:8" ht="14.25" customHeight="1" x14ac:dyDescent="0.25">
      <c r="A15" s="53" t="s">
        <v>222</v>
      </c>
      <c r="B15" s="154">
        <v>2797375.39</v>
      </c>
      <c r="C15" s="154">
        <v>0</v>
      </c>
      <c r="D15" s="153">
        <f t="shared" si="0"/>
        <v>2797375.39</v>
      </c>
      <c r="E15" s="154">
        <v>5012534.2699999996</v>
      </c>
      <c r="F15" s="154">
        <v>5012534.2699999996</v>
      </c>
      <c r="G15" s="153">
        <f t="shared" si="1"/>
        <v>2215158.8799999994</v>
      </c>
    </row>
    <row r="16" spans="1:8" x14ac:dyDescent="0.25">
      <c r="A16" s="10" t="s">
        <v>275</v>
      </c>
      <c r="B16" s="60">
        <f>SUM(B17:B27)</f>
        <v>0</v>
      </c>
      <c r="C16" s="60">
        <f t="shared" ref="C16:F16" si="2">SUM(C17:C27)</f>
        <v>0</v>
      </c>
      <c r="D16" s="60">
        <f t="shared" si="2"/>
        <v>0</v>
      </c>
      <c r="E16" s="60">
        <f t="shared" si="2"/>
        <v>0</v>
      </c>
      <c r="F16" s="60">
        <f t="shared" si="2"/>
        <v>0</v>
      </c>
      <c r="G16" s="60">
        <f>SUM(G17:G27)</f>
        <v>0</v>
      </c>
    </row>
    <row r="17" spans="1:7" ht="14.25" customHeight="1" x14ac:dyDescent="0.25">
      <c r="A17" s="63" t="s">
        <v>223</v>
      </c>
      <c r="B17" s="60" t="s">
        <v>3303</v>
      </c>
      <c r="C17" s="60" t="s">
        <v>3303</v>
      </c>
      <c r="D17" s="60" t="s">
        <v>3303</v>
      </c>
      <c r="E17" s="60" t="s">
        <v>3303</v>
      </c>
      <c r="F17" s="60" t="s">
        <v>3303</v>
      </c>
      <c r="G17" s="60" t="s">
        <v>3303</v>
      </c>
    </row>
    <row r="18" spans="1:7" ht="14.25" customHeight="1" x14ac:dyDescent="0.25">
      <c r="A18" s="63" t="s">
        <v>224</v>
      </c>
      <c r="B18" s="60"/>
      <c r="C18" s="60"/>
      <c r="D18" s="60" t="s">
        <v>3303</v>
      </c>
      <c r="E18" s="60"/>
      <c r="F18" s="60"/>
      <c r="G18" s="60" t="s">
        <v>3303</v>
      </c>
    </row>
    <row r="19" spans="1:7" x14ac:dyDescent="0.25">
      <c r="A19" s="63" t="s">
        <v>225</v>
      </c>
      <c r="B19" s="60"/>
      <c r="C19" s="60"/>
      <c r="D19" s="60" t="s">
        <v>3303</v>
      </c>
      <c r="E19" s="60"/>
      <c r="F19" s="60"/>
      <c r="G19" s="60" t="s">
        <v>3303</v>
      </c>
    </row>
    <row r="20" spans="1:7" x14ac:dyDescent="0.25">
      <c r="A20" s="63" t="s">
        <v>226</v>
      </c>
      <c r="B20" s="60"/>
      <c r="C20" s="60"/>
      <c r="D20" s="60" t="s">
        <v>3303</v>
      </c>
      <c r="E20" s="60"/>
      <c r="F20" s="60"/>
      <c r="G20" s="60" t="s">
        <v>3303</v>
      </c>
    </row>
    <row r="21" spans="1:7" x14ac:dyDescent="0.25">
      <c r="A21" s="63" t="s">
        <v>227</v>
      </c>
      <c r="B21" s="60"/>
      <c r="C21" s="60"/>
      <c r="D21" s="60" t="s">
        <v>3303</v>
      </c>
      <c r="E21" s="60"/>
      <c r="F21" s="60"/>
      <c r="G21" s="60" t="s">
        <v>3303</v>
      </c>
    </row>
    <row r="22" spans="1:7" x14ac:dyDescent="0.25">
      <c r="A22" s="63" t="s">
        <v>228</v>
      </c>
      <c r="B22" s="60"/>
      <c r="C22" s="60"/>
      <c r="D22" s="60" t="s">
        <v>3303</v>
      </c>
      <c r="E22" s="60"/>
      <c r="F22" s="60"/>
      <c r="G22" s="60" t="s">
        <v>3303</v>
      </c>
    </row>
    <row r="23" spans="1:7" x14ac:dyDescent="0.25">
      <c r="A23" s="63" t="s">
        <v>229</v>
      </c>
      <c r="B23" s="60"/>
      <c r="C23" s="60"/>
      <c r="D23" s="60" t="s">
        <v>3303</v>
      </c>
      <c r="E23" s="60"/>
      <c r="F23" s="60"/>
      <c r="G23" s="60" t="s">
        <v>3303</v>
      </c>
    </row>
    <row r="24" spans="1:7" x14ac:dyDescent="0.25">
      <c r="A24" s="63" t="s">
        <v>230</v>
      </c>
      <c r="B24" s="60"/>
      <c r="C24" s="60"/>
      <c r="D24" s="60" t="s">
        <v>3303</v>
      </c>
      <c r="E24" s="60"/>
      <c r="F24" s="60"/>
      <c r="G24" s="60" t="s">
        <v>3303</v>
      </c>
    </row>
    <row r="25" spans="1:7" x14ac:dyDescent="0.25">
      <c r="A25" s="63" t="s">
        <v>231</v>
      </c>
      <c r="B25" s="60"/>
      <c r="C25" s="60"/>
      <c r="D25" s="60" t="s">
        <v>3303</v>
      </c>
      <c r="E25" s="60"/>
      <c r="F25" s="60"/>
      <c r="G25" s="60" t="s">
        <v>3303</v>
      </c>
    </row>
    <row r="26" spans="1:7" ht="14.25" customHeight="1" x14ac:dyDescent="0.25">
      <c r="A26" s="63" t="s">
        <v>232</v>
      </c>
      <c r="B26" s="60"/>
      <c r="C26" s="60"/>
      <c r="D26" s="60" t="s">
        <v>3303</v>
      </c>
      <c r="E26" s="60"/>
      <c r="F26" s="60"/>
      <c r="G26" s="60" t="s">
        <v>3303</v>
      </c>
    </row>
    <row r="27" spans="1:7" x14ac:dyDescent="0.25">
      <c r="A27" s="63" t="s">
        <v>233</v>
      </c>
      <c r="B27" s="60"/>
      <c r="C27" s="60"/>
      <c r="D27" s="60" t="s">
        <v>3303</v>
      </c>
      <c r="E27" s="60"/>
      <c r="F27" s="60"/>
      <c r="G27" s="60" t="s">
        <v>3303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 t="s">
        <v>3303</v>
      </c>
      <c r="C29" s="60" t="s">
        <v>3303</v>
      </c>
      <c r="D29" s="60" t="s">
        <v>3303</v>
      </c>
      <c r="E29" s="60" t="s">
        <v>3303</v>
      </c>
      <c r="F29" s="60" t="s">
        <v>3303</v>
      </c>
      <c r="G29" s="60" t="s">
        <v>3303</v>
      </c>
    </row>
    <row r="30" spans="1:7" x14ac:dyDescent="0.25">
      <c r="A30" s="63" t="s">
        <v>236</v>
      </c>
      <c r="B30" s="60"/>
      <c r="C30" s="60"/>
      <c r="D30" s="60" t="s">
        <v>3303</v>
      </c>
      <c r="E30" s="60"/>
      <c r="F30" s="60"/>
      <c r="G30" s="60" t="s">
        <v>3303</v>
      </c>
    </row>
    <row r="31" spans="1:7" x14ac:dyDescent="0.25">
      <c r="A31" s="63" t="s">
        <v>237</v>
      </c>
      <c r="B31" s="60"/>
      <c r="C31" s="60"/>
      <c r="D31" s="60" t="s">
        <v>3303</v>
      </c>
      <c r="E31" s="60"/>
      <c r="F31" s="60"/>
      <c r="G31" s="60" t="s">
        <v>3303</v>
      </c>
    </row>
    <row r="32" spans="1:7" x14ac:dyDescent="0.25">
      <c r="A32" s="63" t="s">
        <v>238</v>
      </c>
      <c r="B32" s="60"/>
      <c r="C32" s="60"/>
      <c r="D32" s="60" t="s">
        <v>3303</v>
      </c>
      <c r="E32" s="60"/>
      <c r="F32" s="60"/>
      <c r="G32" s="60" t="s">
        <v>3303</v>
      </c>
    </row>
    <row r="33" spans="1:8" x14ac:dyDescent="0.25">
      <c r="A33" s="63" t="s">
        <v>239</v>
      </c>
      <c r="B33" s="60"/>
      <c r="C33" s="60"/>
      <c r="D33" s="60" t="s">
        <v>3303</v>
      </c>
      <c r="E33" s="60"/>
      <c r="F33" s="60"/>
      <c r="G33" s="60" t="s">
        <v>3303</v>
      </c>
    </row>
    <row r="34" spans="1:8" x14ac:dyDescent="0.25">
      <c r="A34" s="53" t="s">
        <v>240</v>
      </c>
      <c r="B34" s="60" t="s">
        <v>3303</v>
      </c>
      <c r="C34" s="60" t="s">
        <v>3303</v>
      </c>
      <c r="D34" s="60" t="s">
        <v>3303</v>
      </c>
      <c r="E34" s="60" t="s">
        <v>3303</v>
      </c>
      <c r="F34" s="60" t="s">
        <v>3303</v>
      </c>
      <c r="G34" s="60" t="s">
        <v>3303</v>
      </c>
    </row>
    <row r="35" spans="1:8" x14ac:dyDescent="0.25">
      <c r="A35" s="53" t="s">
        <v>241</v>
      </c>
      <c r="B35" s="60" t="s">
        <v>3303</v>
      </c>
      <c r="C35" s="60" t="s">
        <v>3303</v>
      </c>
      <c r="D35" s="60" t="s">
        <v>3303</v>
      </c>
      <c r="E35" s="60" t="s">
        <v>3303</v>
      </c>
      <c r="F35" s="60" t="s">
        <v>3303</v>
      </c>
      <c r="G35" s="60" t="s">
        <v>3303</v>
      </c>
    </row>
    <row r="36" spans="1:8" x14ac:dyDescent="0.25">
      <c r="A36" s="63" t="s">
        <v>242</v>
      </c>
      <c r="B36" s="60" t="s">
        <v>3303</v>
      </c>
      <c r="C36" s="60" t="s">
        <v>3303</v>
      </c>
      <c r="D36" s="60" t="s">
        <v>3303</v>
      </c>
      <c r="E36" s="60" t="s">
        <v>3303</v>
      </c>
      <c r="F36" s="60" t="s">
        <v>3303</v>
      </c>
      <c r="G36" s="60" t="s">
        <v>3303</v>
      </c>
    </row>
    <row r="37" spans="1:8" x14ac:dyDescent="0.25">
      <c r="A37" s="53" t="s">
        <v>243</v>
      </c>
      <c r="B37" s="60" t="s">
        <v>3303</v>
      </c>
      <c r="C37" s="60" t="s">
        <v>3303</v>
      </c>
      <c r="D37" s="60" t="s">
        <v>3303</v>
      </c>
      <c r="E37" s="60" t="s">
        <v>3303</v>
      </c>
      <c r="F37" s="60" t="s">
        <v>3303</v>
      </c>
      <c r="G37" s="60" t="s">
        <v>3303</v>
      </c>
    </row>
    <row r="38" spans="1:8" x14ac:dyDescent="0.25">
      <c r="A38" s="63" t="s">
        <v>244</v>
      </c>
      <c r="B38" s="60"/>
      <c r="C38" s="60"/>
      <c r="D38" s="60" t="s">
        <v>3303</v>
      </c>
      <c r="E38" s="60"/>
      <c r="F38" s="60"/>
      <c r="G38" s="60" t="s">
        <v>3303</v>
      </c>
    </row>
    <row r="39" spans="1:8" x14ac:dyDescent="0.25">
      <c r="A39" s="63" t="s">
        <v>245</v>
      </c>
      <c r="B39" s="60"/>
      <c r="C39" s="60"/>
      <c r="D39" s="60" t="s">
        <v>3303</v>
      </c>
      <c r="E39" s="60"/>
      <c r="F39" s="60"/>
      <c r="G39" s="60" t="s">
        <v>3303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4388232.4000000004</v>
      </c>
      <c r="C41" s="61">
        <f t="shared" ref="C41:E41" si="4">SUM(C9,C10,C11,C12,C13,C14,C15,C16,C28,C34,C35,C37)</f>
        <v>0</v>
      </c>
      <c r="D41" s="61">
        <f t="shared" si="4"/>
        <v>4388232.4000000004</v>
      </c>
      <c r="E41" s="61">
        <f t="shared" si="4"/>
        <v>6094638.9799999995</v>
      </c>
      <c r="F41" s="61">
        <f>SUM(F9,F10,F11,F12,F13,F14,F15,F16,F28,F34,F35,F37)</f>
        <v>6094638.9799999995</v>
      </c>
      <c r="G41" s="61">
        <f>SUM(G9,G10,G11,G12,G13,G14,G15,G16,G28,G34,G35,G37)</f>
        <v>1706406.5799999994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1706406.5799999994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5">SUM(C46:C53)</f>
        <v>0</v>
      </c>
      <c r="D45" s="60">
        <f t="shared" si="5"/>
        <v>0</v>
      </c>
      <c r="E45" s="60">
        <f t="shared" si="5"/>
        <v>0</v>
      </c>
      <c r="F45" s="60">
        <f t="shared" si="5"/>
        <v>0</v>
      </c>
      <c r="G45" s="60">
        <f t="shared" si="5"/>
        <v>0</v>
      </c>
    </row>
    <row r="46" spans="1:8" x14ac:dyDescent="0.25">
      <c r="A46" s="69" t="s">
        <v>249</v>
      </c>
      <c r="B46" s="60"/>
      <c r="C46" s="60"/>
      <c r="D46" s="60" t="s">
        <v>3303</v>
      </c>
      <c r="E46" s="60"/>
      <c r="F46" s="60"/>
      <c r="G46" s="60" t="s">
        <v>3303</v>
      </c>
    </row>
    <row r="47" spans="1:8" x14ac:dyDescent="0.25">
      <c r="A47" s="69" t="s">
        <v>250</v>
      </c>
      <c r="B47" s="60"/>
      <c r="C47" s="60"/>
      <c r="D47" s="60" t="s">
        <v>3303</v>
      </c>
      <c r="E47" s="60"/>
      <c r="F47" s="60"/>
      <c r="G47" s="60" t="s">
        <v>3303</v>
      </c>
    </row>
    <row r="48" spans="1:8" x14ac:dyDescent="0.25">
      <c r="A48" s="69" t="s">
        <v>251</v>
      </c>
      <c r="B48" s="60" t="s">
        <v>3303</v>
      </c>
      <c r="C48" s="60" t="s">
        <v>3303</v>
      </c>
      <c r="D48" s="60" t="s">
        <v>3303</v>
      </c>
      <c r="E48" s="60" t="s">
        <v>3303</v>
      </c>
      <c r="F48" s="60" t="s">
        <v>3303</v>
      </c>
      <c r="G48" s="60" t="s">
        <v>3303</v>
      </c>
    </row>
    <row r="49" spans="1:7" ht="30" x14ac:dyDescent="0.25">
      <c r="A49" s="69" t="s">
        <v>252</v>
      </c>
      <c r="B49" s="60" t="s">
        <v>3303</v>
      </c>
      <c r="C49" s="60" t="s">
        <v>3303</v>
      </c>
      <c r="D49" s="60" t="s">
        <v>3303</v>
      </c>
      <c r="E49" s="60" t="s">
        <v>3303</v>
      </c>
      <c r="F49" s="60" t="s">
        <v>3303</v>
      </c>
      <c r="G49" s="60" t="s">
        <v>3303</v>
      </c>
    </row>
    <row r="50" spans="1:7" x14ac:dyDescent="0.25">
      <c r="A50" s="69" t="s">
        <v>253</v>
      </c>
      <c r="B50" s="60"/>
      <c r="C50" s="60"/>
      <c r="D50" s="60" t="s">
        <v>3303</v>
      </c>
      <c r="E50" s="60"/>
      <c r="F50" s="60"/>
      <c r="G50" s="60" t="s">
        <v>3303</v>
      </c>
    </row>
    <row r="51" spans="1:7" x14ac:dyDescent="0.25">
      <c r="A51" s="69" t="s">
        <v>254</v>
      </c>
      <c r="B51" s="60"/>
      <c r="C51" s="60"/>
      <c r="D51" s="60" t="s">
        <v>3303</v>
      </c>
      <c r="E51" s="60"/>
      <c r="F51" s="60"/>
      <c r="G51" s="60" t="s">
        <v>3303</v>
      </c>
    </row>
    <row r="52" spans="1:7" x14ac:dyDescent="0.25">
      <c r="A52" s="48" t="s">
        <v>255</v>
      </c>
      <c r="B52" s="60"/>
      <c r="C52" s="60"/>
      <c r="D52" s="60" t="s">
        <v>3303</v>
      </c>
      <c r="E52" s="60"/>
      <c r="F52" s="60"/>
      <c r="G52" s="60" t="s">
        <v>3303</v>
      </c>
    </row>
    <row r="53" spans="1:7" x14ac:dyDescent="0.25">
      <c r="A53" s="63" t="s">
        <v>256</v>
      </c>
      <c r="B53" s="60"/>
      <c r="C53" s="60"/>
      <c r="D53" s="60" t="s">
        <v>3303</v>
      </c>
      <c r="E53" s="60"/>
      <c r="F53" s="60"/>
      <c r="G53" s="60" t="s">
        <v>3303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6">SUM(C55:C58)</f>
        <v>0</v>
      </c>
      <c r="D54" s="60">
        <f t="shared" si="6"/>
        <v>0</v>
      </c>
      <c r="E54" s="60">
        <f t="shared" si="6"/>
        <v>0</v>
      </c>
      <c r="F54" s="60">
        <f t="shared" si="6"/>
        <v>0</v>
      </c>
      <c r="G54" s="60">
        <f t="shared" si="6"/>
        <v>0</v>
      </c>
    </row>
    <row r="55" spans="1:7" x14ac:dyDescent="0.25">
      <c r="A55" s="48" t="s">
        <v>258</v>
      </c>
      <c r="B55" s="153"/>
      <c r="C55" s="153"/>
      <c r="D55" s="153">
        <f t="shared" ref="D55:D58" si="7">B55+C55</f>
        <v>0</v>
      </c>
      <c r="E55" s="153"/>
      <c r="F55" s="153"/>
      <c r="G55" s="153">
        <f t="shared" ref="G55:G58" si="8">F55-B55</f>
        <v>0</v>
      </c>
    </row>
    <row r="56" spans="1:7" x14ac:dyDescent="0.25">
      <c r="A56" s="69" t="s">
        <v>259</v>
      </c>
      <c r="B56" s="153"/>
      <c r="C56" s="153"/>
      <c r="D56" s="153">
        <f t="shared" si="7"/>
        <v>0</v>
      </c>
      <c r="E56" s="153"/>
      <c r="F56" s="153"/>
      <c r="G56" s="153">
        <f t="shared" si="8"/>
        <v>0</v>
      </c>
    </row>
    <row r="57" spans="1:7" x14ac:dyDescent="0.25">
      <c r="A57" s="69" t="s">
        <v>260</v>
      </c>
      <c r="B57" s="153"/>
      <c r="C57" s="153"/>
      <c r="D57" s="153">
        <f t="shared" si="7"/>
        <v>0</v>
      </c>
      <c r="E57" s="153"/>
      <c r="F57" s="153"/>
      <c r="G57" s="153">
        <f t="shared" si="8"/>
        <v>0</v>
      </c>
    </row>
    <row r="58" spans="1:7" x14ac:dyDescent="0.25">
      <c r="A58" s="48" t="s">
        <v>261</v>
      </c>
      <c r="B58" s="154">
        <v>0</v>
      </c>
      <c r="C58" s="154">
        <v>0</v>
      </c>
      <c r="D58" s="153">
        <f t="shared" si="7"/>
        <v>0</v>
      </c>
      <c r="E58" s="154">
        <v>0</v>
      </c>
      <c r="F58" s="154">
        <v>0</v>
      </c>
      <c r="G58" s="153">
        <f t="shared" si="8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9">SUM(C60:C61)</f>
        <v>0</v>
      </c>
      <c r="D59" s="60">
        <f t="shared" si="9"/>
        <v>0</v>
      </c>
      <c r="E59" s="60">
        <f t="shared" si="9"/>
        <v>0</v>
      </c>
      <c r="F59" s="60">
        <f t="shared" si="9"/>
        <v>0</v>
      </c>
      <c r="G59" s="60">
        <f t="shared" si="9"/>
        <v>0</v>
      </c>
    </row>
    <row r="60" spans="1:7" x14ac:dyDescent="0.25">
      <c r="A60" s="69" t="s">
        <v>263</v>
      </c>
      <c r="B60" s="153"/>
      <c r="C60" s="153"/>
      <c r="D60" s="153">
        <f t="shared" ref="D60:D61" si="10">B60+C60</f>
        <v>0</v>
      </c>
      <c r="E60" s="153"/>
      <c r="F60" s="153"/>
      <c r="G60" s="153">
        <f t="shared" ref="G60:G61" si="11">F60-B60</f>
        <v>0</v>
      </c>
    </row>
    <row r="61" spans="1:7" x14ac:dyDescent="0.25">
      <c r="A61" s="69" t="s">
        <v>264</v>
      </c>
      <c r="B61" s="153"/>
      <c r="C61" s="153"/>
      <c r="D61" s="153">
        <f t="shared" si="10"/>
        <v>0</v>
      </c>
      <c r="E61" s="153"/>
      <c r="F61" s="153"/>
      <c r="G61" s="153">
        <f t="shared" si="11"/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2">C45+C54+C59+C62+C63</f>
        <v>0</v>
      </c>
      <c r="D65" s="61">
        <f t="shared" si="12"/>
        <v>0</v>
      </c>
      <c r="E65" s="61">
        <f t="shared" si="12"/>
        <v>0</v>
      </c>
      <c r="F65" s="61">
        <f t="shared" si="12"/>
        <v>0</v>
      </c>
      <c r="G65" s="61">
        <f t="shared" si="12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v>0</v>
      </c>
      <c r="D67" s="61">
        <f t="shared" ref="D67:G67" si="13">D68</f>
        <v>0</v>
      </c>
      <c r="E67" s="61">
        <f t="shared" si="13"/>
        <v>0</v>
      </c>
      <c r="F67" s="61">
        <f t="shared" si="13"/>
        <v>0</v>
      </c>
      <c r="G67" s="61">
        <f t="shared" si="13"/>
        <v>0</v>
      </c>
    </row>
    <row r="68" spans="1:7" x14ac:dyDescent="0.25">
      <c r="A68" s="53" t="s">
        <v>269</v>
      </c>
      <c r="B68" s="154">
        <v>0</v>
      </c>
      <c r="C68" s="154">
        <v>0</v>
      </c>
      <c r="D68" s="153">
        <v>0</v>
      </c>
      <c r="E68" s="154">
        <v>0</v>
      </c>
      <c r="F68" s="154">
        <v>0</v>
      </c>
      <c r="G68" s="153">
        <f t="shared" ref="G68" si="14"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4388232.4000000004</v>
      </c>
      <c r="C70" s="61">
        <f t="shared" ref="C70:G70" si="15">C41+C65+C67</f>
        <v>0</v>
      </c>
      <c r="D70" s="61">
        <f t="shared" si="15"/>
        <v>4388232.4000000004</v>
      </c>
      <c r="E70" s="61">
        <f t="shared" si="15"/>
        <v>6094638.9799999995</v>
      </c>
      <c r="F70" s="61">
        <f t="shared" si="15"/>
        <v>6094638.9799999995</v>
      </c>
      <c r="G70" s="61">
        <f t="shared" si="15"/>
        <v>1706406.5799999994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154">
        <v>0</v>
      </c>
      <c r="C73" s="154">
        <v>0</v>
      </c>
      <c r="D73" s="153">
        <f t="shared" ref="D73" si="16">B73+C73</f>
        <v>0</v>
      </c>
      <c r="E73" s="154">
        <v>0</v>
      </c>
      <c r="F73" s="154">
        <v>0</v>
      </c>
      <c r="G73" s="153">
        <f t="shared" ref="G73" si="17"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8">C73+C74</f>
        <v>0</v>
      </c>
      <c r="D75" s="61">
        <f t="shared" si="18"/>
        <v>0</v>
      </c>
      <c r="E75" s="61">
        <f t="shared" si="18"/>
        <v>0</v>
      </c>
      <c r="F75" s="61">
        <f t="shared" si="18"/>
        <v>0</v>
      </c>
      <c r="G75" s="61">
        <f t="shared" si="18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 t="str">
        <f>'Formato 5'!B9</f>
        <v xml:space="preserve"> -   </v>
      </c>
      <c r="Q3" s="18" t="str">
        <f>'Formato 5'!C9</f>
        <v xml:space="preserve"> -   </v>
      </c>
      <c r="R3" s="18" t="str">
        <f>'Formato 5'!D9</f>
        <v xml:space="preserve"> -   </v>
      </c>
      <c r="S3" s="18" t="str">
        <f>'Formato 5'!E9</f>
        <v xml:space="preserve"> -   </v>
      </c>
      <c r="T3" s="18" t="str">
        <f>'Formato 5'!F9</f>
        <v xml:space="preserve"> -   </v>
      </c>
      <c r="U3" s="18" t="str">
        <f>'Formato 5'!G9</f>
        <v xml:space="preserve"> -   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 t="str">
        <f>'Formato 5'!B10</f>
        <v xml:space="preserve"> -   </v>
      </c>
      <c r="Q4" s="18" t="str">
        <f>'Formato 5'!C10</f>
        <v xml:space="preserve"> -   </v>
      </c>
      <c r="R4" s="18" t="str">
        <f>'Formato 5'!D10</f>
        <v xml:space="preserve"> -   </v>
      </c>
      <c r="S4" s="18" t="str">
        <f>'Formato 5'!E10</f>
        <v xml:space="preserve"> -   </v>
      </c>
      <c r="T4" s="18" t="str">
        <f>'Formato 5'!F10</f>
        <v xml:space="preserve"> -   </v>
      </c>
      <c r="U4" s="18" t="str">
        <f>'Formato 5'!G10</f>
        <v xml:space="preserve"> -   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 t="str">
        <f>'Formato 5'!B11</f>
        <v xml:space="preserve"> -   </v>
      </c>
      <c r="Q5" s="18" t="str">
        <f>'Formato 5'!C11</f>
        <v xml:space="preserve"> -   </v>
      </c>
      <c r="R5" s="18" t="str">
        <f>'Formato 5'!D11</f>
        <v xml:space="preserve"> -   </v>
      </c>
      <c r="S5" s="18" t="str">
        <f>'Formato 5'!E11</f>
        <v xml:space="preserve"> -   </v>
      </c>
      <c r="T5" s="18" t="str">
        <f>'Formato 5'!F11</f>
        <v xml:space="preserve"> -   </v>
      </c>
      <c r="U5" s="18" t="str">
        <f>'Formato 5'!G11</f>
        <v xml:space="preserve"> -   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 t="str">
        <f>'Formato 5'!B12</f>
        <v xml:space="preserve"> -   </v>
      </c>
      <c r="Q6" s="18" t="str">
        <f>'Formato 5'!C12</f>
        <v xml:space="preserve"> -   </v>
      </c>
      <c r="R6" s="18" t="str">
        <f>'Formato 5'!D12</f>
        <v xml:space="preserve"> -   </v>
      </c>
      <c r="S6" s="18" t="str">
        <f>'Formato 5'!E12</f>
        <v xml:space="preserve"> -   </v>
      </c>
      <c r="T6" s="18" t="str">
        <f>'Formato 5'!F12</f>
        <v xml:space="preserve"> -   </v>
      </c>
      <c r="U6" s="18" t="str">
        <f>'Formato 5'!G12</f>
        <v xml:space="preserve"> -   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1590857.01</v>
      </c>
      <c r="Q7" s="18">
        <f>'Formato 5'!C13</f>
        <v>0</v>
      </c>
      <c r="R7" s="18">
        <f>'Formato 5'!D13</f>
        <v>1590857.01</v>
      </c>
      <c r="S7" s="18">
        <f>'Formato 5'!E13</f>
        <v>1082104.71</v>
      </c>
      <c r="T7" s="18">
        <f>'Formato 5'!F13</f>
        <v>1082104.71</v>
      </c>
      <c r="U7" s="18">
        <f>'Formato 5'!G13</f>
        <v>-508752.30000000005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2797375.39</v>
      </c>
      <c r="Q9" s="18">
        <f>'Formato 5'!C15</f>
        <v>0</v>
      </c>
      <c r="R9" s="18">
        <f>'Formato 5'!D15</f>
        <v>2797375.39</v>
      </c>
      <c r="S9" s="18">
        <f>'Formato 5'!E15</f>
        <v>5012534.2699999996</v>
      </c>
      <c r="T9" s="18">
        <f>'Formato 5'!F15</f>
        <v>5012534.2699999996</v>
      </c>
      <c r="U9" s="18">
        <f>'Formato 5'!G15</f>
        <v>2215158.8799999994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 t="str">
        <f>'Formato 5'!B17</f>
        <v xml:space="preserve"> -   </v>
      </c>
      <c r="Q11" s="18" t="str">
        <f>'Formato 5'!C17</f>
        <v xml:space="preserve"> -   </v>
      </c>
      <c r="R11" s="18" t="str">
        <f>'Formato 5'!D17</f>
        <v xml:space="preserve"> -   </v>
      </c>
      <c r="S11" s="18" t="str">
        <f>'Formato 5'!E17</f>
        <v xml:space="preserve"> -   </v>
      </c>
      <c r="T11" s="18" t="str">
        <f>'Formato 5'!F17</f>
        <v xml:space="preserve"> -   </v>
      </c>
      <c r="U11" s="18" t="str">
        <f>'Formato 5'!G17</f>
        <v xml:space="preserve"> -   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 t="str">
        <f>'Formato 5'!D18</f>
        <v xml:space="preserve"> -   </v>
      </c>
      <c r="S12" s="18">
        <f>'Formato 5'!E18</f>
        <v>0</v>
      </c>
      <c r="T12" s="18">
        <f>'Formato 5'!F18</f>
        <v>0</v>
      </c>
      <c r="U12" s="18" t="str">
        <f>'Formato 5'!G18</f>
        <v xml:space="preserve"> -   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 t="str">
        <f>'Formato 5'!D19</f>
        <v xml:space="preserve"> -   </v>
      </c>
      <c r="S13" s="18">
        <f>'Formato 5'!E19</f>
        <v>0</v>
      </c>
      <c r="T13" s="18">
        <f>'Formato 5'!F19</f>
        <v>0</v>
      </c>
      <c r="U13" s="18" t="str">
        <f>'Formato 5'!G19</f>
        <v xml:space="preserve"> -   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 t="str">
        <f>'Formato 5'!D20</f>
        <v xml:space="preserve"> -   </v>
      </c>
      <c r="S14" s="18">
        <f>'Formato 5'!E20</f>
        <v>0</v>
      </c>
      <c r="T14" s="18">
        <f>'Formato 5'!F20</f>
        <v>0</v>
      </c>
      <c r="U14" s="18" t="str">
        <f>'Formato 5'!G20</f>
        <v xml:space="preserve"> -   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 t="str">
        <f>'Formato 5'!D21</f>
        <v xml:space="preserve"> -   </v>
      </c>
      <c r="S15" s="18">
        <f>'Formato 5'!E21</f>
        <v>0</v>
      </c>
      <c r="T15" s="18">
        <f>'Formato 5'!F21</f>
        <v>0</v>
      </c>
      <c r="U15" s="18" t="str">
        <f>'Formato 5'!G21</f>
        <v xml:space="preserve"> -   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 t="str">
        <f>'Formato 5'!D22</f>
        <v xml:space="preserve"> -   </v>
      </c>
      <c r="S16" s="18">
        <f>'Formato 5'!E22</f>
        <v>0</v>
      </c>
      <c r="T16" s="18">
        <f>'Formato 5'!F22</f>
        <v>0</v>
      </c>
      <c r="U16" s="18" t="str">
        <f>'Formato 5'!G22</f>
        <v xml:space="preserve"> -   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 t="str">
        <f>'Formato 5'!D23</f>
        <v xml:space="preserve"> -   </v>
      </c>
      <c r="S17" s="18">
        <f>'Formato 5'!E23</f>
        <v>0</v>
      </c>
      <c r="T17" s="18">
        <f>'Formato 5'!F23</f>
        <v>0</v>
      </c>
      <c r="U17" s="18" t="str">
        <f>'Formato 5'!G23</f>
        <v xml:space="preserve"> -   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 t="str">
        <f>'Formato 5'!D24</f>
        <v xml:space="preserve"> -   </v>
      </c>
      <c r="S18" s="18">
        <f>'Formato 5'!E24</f>
        <v>0</v>
      </c>
      <c r="T18" s="18">
        <f>'Formato 5'!F24</f>
        <v>0</v>
      </c>
      <c r="U18" s="18" t="str">
        <f>'Formato 5'!G24</f>
        <v xml:space="preserve"> -   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 t="str">
        <f>'Formato 5'!D25</f>
        <v xml:space="preserve"> -   </v>
      </c>
      <c r="S19" s="18">
        <f>'Formato 5'!E25</f>
        <v>0</v>
      </c>
      <c r="T19" s="18">
        <f>'Formato 5'!F25</f>
        <v>0</v>
      </c>
      <c r="U19" s="18" t="str">
        <f>'Formato 5'!G25</f>
        <v xml:space="preserve"> -   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 t="str">
        <f>'Formato 5'!D26</f>
        <v xml:space="preserve"> -   </v>
      </c>
      <c r="S20" s="18">
        <f>'Formato 5'!E26</f>
        <v>0</v>
      </c>
      <c r="T20" s="18">
        <f>'Formato 5'!F26</f>
        <v>0</v>
      </c>
      <c r="U20" s="18" t="str">
        <f>'Formato 5'!G26</f>
        <v xml:space="preserve"> -   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 t="str">
        <f>'Formato 5'!D27</f>
        <v xml:space="preserve"> -   </v>
      </c>
      <c r="S21" s="18">
        <f>'Formato 5'!E27</f>
        <v>0</v>
      </c>
      <c r="T21" s="18">
        <f>'Formato 5'!F27</f>
        <v>0</v>
      </c>
      <c r="U21" s="18" t="str">
        <f>'Formato 5'!G27</f>
        <v xml:space="preserve"> -   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 t="str">
        <f>'Formato 5'!B29</f>
        <v xml:space="preserve"> -   </v>
      </c>
      <c r="Q23" s="18" t="str">
        <f>'Formato 5'!C29</f>
        <v xml:space="preserve"> -   </v>
      </c>
      <c r="R23" s="18" t="str">
        <f>'Formato 5'!D29</f>
        <v xml:space="preserve"> -   </v>
      </c>
      <c r="S23" s="18" t="str">
        <f>'Formato 5'!E29</f>
        <v xml:space="preserve"> -   </v>
      </c>
      <c r="T23" s="18" t="str">
        <f>'Formato 5'!F29</f>
        <v xml:space="preserve"> -   </v>
      </c>
      <c r="U23" s="18" t="str">
        <f>'Formato 5'!G29</f>
        <v xml:space="preserve"> -   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 t="str">
        <f>'Formato 5'!D30</f>
        <v xml:space="preserve"> -   </v>
      </c>
      <c r="S24" s="18">
        <f>'Formato 5'!E30</f>
        <v>0</v>
      </c>
      <c r="T24" s="18">
        <f>'Formato 5'!F30</f>
        <v>0</v>
      </c>
      <c r="U24" s="18" t="str">
        <f>'Formato 5'!G30</f>
        <v xml:space="preserve"> -   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 t="str">
        <f>'Formato 5'!D31</f>
        <v xml:space="preserve"> -   </v>
      </c>
      <c r="S25" s="18">
        <f>'Formato 5'!E31</f>
        <v>0</v>
      </c>
      <c r="T25" s="18">
        <f>'Formato 5'!F31</f>
        <v>0</v>
      </c>
      <c r="U25" s="18" t="str">
        <f>'Formato 5'!G31</f>
        <v xml:space="preserve"> -   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 t="str">
        <f>'Formato 5'!D32</f>
        <v xml:space="preserve"> -   </v>
      </c>
      <c r="S26" s="18">
        <f>'Formato 5'!E32</f>
        <v>0</v>
      </c>
      <c r="T26" s="18">
        <f>'Formato 5'!F32</f>
        <v>0</v>
      </c>
      <c r="U26" s="18" t="str">
        <f>'Formato 5'!G32</f>
        <v xml:space="preserve"> -   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 t="str">
        <f>'Formato 5'!D33</f>
        <v xml:space="preserve"> -   </v>
      </c>
      <c r="S27" s="18">
        <f>'Formato 5'!E33</f>
        <v>0</v>
      </c>
      <c r="T27" s="18">
        <f>'Formato 5'!F33</f>
        <v>0</v>
      </c>
      <c r="U27" s="18" t="str">
        <f>'Formato 5'!G33</f>
        <v xml:space="preserve"> -   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 t="str">
        <f>'Formato 5'!B34</f>
        <v xml:space="preserve"> -   </v>
      </c>
      <c r="Q28" s="18" t="str">
        <f>'Formato 5'!C34</f>
        <v xml:space="preserve"> -   </v>
      </c>
      <c r="R28" s="18" t="str">
        <f>'Formato 5'!D34</f>
        <v xml:space="preserve"> -   </v>
      </c>
      <c r="S28" s="18" t="str">
        <f>'Formato 5'!E34</f>
        <v xml:space="preserve"> -   </v>
      </c>
      <c r="T28" s="18" t="str">
        <f>'Formato 5'!F34</f>
        <v xml:space="preserve"> -   </v>
      </c>
      <c r="U28" s="18" t="str">
        <f>'Formato 5'!G34</f>
        <v xml:space="preserve"> -   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 t="str">
        <f>'Formato 5'!B35</f>
        <v xml:space="preserve"> -   </v>
      </c>
      <c r="Q29" s="18" t="str">
        <f>'Formato 5'!C35</f>
        <v xml:space="preserve"> -   </v>
      </c>
      <c r="R29" s="18" t="str">
        <f>'Formato 5'!D35</f>
        <v xml:space="preserve"> -   </v>
      </c>
      <c r="S29" s="18" t="str">
        <f>'Formato 5'!E35</f>
        <v xml:space="preserve"> -   </v>
      </c>
      <c r="T29" s="18" t="str">
        <f>'Formato 5'!F35</f>
        <v xml:space="preserve"> -   </v>
      </c>
      <c r="U29" s="18" t="str">
        <f>'Formato 5'!G35</f>
        <v xml:space="preserve"> -   </v>
      </c>
    </row>
    <row r="30" spans="1:21" ht="14.25" x14ac:dyDescent="0.4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 t="str">
        <f>'Formato 5'!B36</f>
        <v xml:space="preserve"> -   </v>
      </c>
      <c r="Q30" s="18" t="str">
        <f>'Formato 5'!C36</f>
        <v xml:space="preserve"> -   </v>
      </c>
      <c r="R30" s="18" t="str">
        <f>'Formato 5'!D36</f>
        <v xml:space="preserve"> -   </v>
      </c>
      <c r="S30" s="18" t="str">
        <f>'Formato 5'!E36</f>
        <v xml:space="preserve"> -   </v>
      </c>
      <c r="T30" s="18" t="str">
        <f>'Formato 5'!F36</f>
        <v xml:space="preserve"> -   </v>
      </c>
      <c r="U30" s="18" t="str">
        <f>'Formato 5'!G36</f>
        <v xml:space="preserve"> -   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 t="str">
        <f>'Formato 5'!B37</f>
        <v xml:space="preserve"> -   </v>
      </c>
      <c r="Q31" s="18" t="str">
        <f>'Formato 5'!C37</f>
        <v xml:space="preserve"> -   </v>
      </c>
      <c r="R31" s="18" t="str">
        <f>'Formato 5'!D37</f>
        <v xml:space="preserve"> -   </v>
      </c>
      <c r="S31" s="18" t="str">
        <f>'Formato 5'!E37</f>
        <v xml:space="preserve"> -   </v>
      </c>
      <c r="T31" s="18" t="str">
        <f>'Formato 5'!F37</f>
        <v xml:space="preserve"> -   </v>
      </c>
      <c r="U31" s="18" t="str">
        <f>'Formato 5'!G37</f>
        <v xml:space="preserve"> -   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 t="str">
        <f>'Formato 5'!D38</f>
        <v xml:space="preserve"> -   </v>
      </c>
      <c r="S32" s="18">
        <f>'Formato 5'!E38</f>
        <v>0</v>
      </c>
      <c r="T32" s="18">
        <f>'Formato 5'!F38</f>
        <v>0</v>
      </c>
      <c r="U32" s="18" t="str">
        <f>'Formato 5'!G38</f>
        <v xml:space="preserve"> -   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 t="str">
        <f>'Formato 5'!D39</f>
        <v xml:space="preserve"> -   </v>
      </c>
      <c r="S33" s="18">
        <f>'Formato 5'!E39</f>
        <v>0</v>
      </c>
      <c r="T33" s="18">
        <f>'Formato 5'!F39</f>
        <v>0</v>
      </c>
      <c r="U33" s="18" t="str">
        <f>'Formato 5'!G39</f>
        <v xml:space="preserve"> -   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4388232.4000000004</v>
      </c>
      <c r="Q34">
        <f>'Formato 5'!C41</f>
        <v>0</v>
      </c>
      <c r="R34">
        <f>'Formato 5'!D41</f>
        <v>4388232.4000000004</v>
      </c>
      <c r="S34">
        <f>'Formato 5'!E41</f>
        <v>6094638.9799999995</v>
      </c>
      <c r="T34">
        <f>'Formato 5'!F41</f>
        <v>6094638.9799999995</v>
      </c>
      <c r="U34">
        <f>'Formato 5'!G41</f>
        <v>1706406.5799999994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1706406.5799999994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 t="str">
        <f>'Formato 5'!D46</f>
        <v xml:space="preserve"> -   </v>
      </c>
      <c r="S38">
        <f>'Formato 5'!E46</f>
        <v>0</v>
      </c>
      <c r="T38">
        <f>'Formato 5'!F46</f>
        <v>0</v>
      </c>
      <c r="U38" t="str">
        <f>'Formato 5'!G46</f>
        <v xml:space="preserve"> -   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 t="str">
        <f>'Formato 5'!D47</f>
        <v xml:space="preserve"> -   </v>
      </c>
      <c r="S39">
        <f>'Formato 5'!E47</f>
        <v>0</v>
      </c>
      <c r="T39">
        <f>'Formato 5'!F47</f>
        <v>0</v>
      </c>
      <c r="U39" t="str">
        <f>'Formato 5'!G47</f>
        <v xml:space="preserve"> -   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 t="str">
        <f>'Formato 5'!B48</f>
        <v xml:space="preserve"> -   </v>
      </c>
      <c r="Q40" t="str">
        <f>'Formato 5'!C48</f>
        <v xml:space="preserve"> -   </v>
      </c>
      <c r="R40" t="str">
        <f>'Formato 5'!D48</f>
        <v xml:space="preserve"> -   </v>
      </c>
      <c r="S40" t="str">
        <f>'Formato 5'!E48</f>
        <v xml:space="preserve"> -   </v>
      </c>
      <c r="T40" t="str">
        <f>'Formato 5'!F48</f>
        <v xml:space="preserve"> -   </v>
      </c>
      <c r="U40" t="str">
        <f>'Formato 5'!G48</f>
        <v xml:space="preserve"> -   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 t="str">
        <f>'Formato 5'!B49</f>
        <v xml:space="preserve"> -   </v>
      </c>
      <c r="Q41" t="str">
        <f>'Formato 5'!C49</f>
        <v xml:space="preserve"> -   </v>
      </c>
      <c r="R41" t="str">
        <f>'Formato 5'!D49</f>
        <v xml:space="preserve"> -   </v>
      </c>
      <c r="S41" t="str">
        <f>'Formato 5'!E49</f>
        <v xml:space="preserve"> -   </v>
      </c>
      <c r="T41" t="str">
        <f>'Formato 5'!F49</f>
        <v xml:space="preserve"> -   </v>
      </c>
      <c r="U41" t="str">
        <f>'Formato 5'!G49</f>
        <v xml:space="preserve"> -   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 t="str">
        <f>'Formato 5'!D50</f>
        <v xml:space="preserve"> -   </v>
      </c>
      <c r="S42">
        <f>'Formato 5'!E50</f>
        <v>0</v>
      </c>
      <c r="T42">
        <f>'Formato 5'!F50</f>
        <v>0</v>
      </c>
      <c r="U42" t="str">
        <f>'Formato 5'!G50</f>
        <v xml:space="preserve"> -   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 t="str">
        <f>'Formato 5'!D51</f>
        <v xml:space="preserve"> -   </v>
      </c>
      <c r="S43">
        <f>'Formato 5'!E51</f>
        <v>0</v>
      </c>
      <c r="T43">
        <f>'Formato 5'!F51</f>
        <v>0</v>
      </c>
      <c r="U43" t="str">
        <f>'Formato 5'!G51</f>
        <v xml:space="preserve"> -   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 t="str">
        <f>'Formato 5'!D52</f>
        <v xml:space="preserve"> -   </v>
      </c>
      <c r="S44">
        <f>'Formato 5'!E52</f>
        <v>0</v>
      </c>
      <c r="T44">
        <f>'Formato 5'!F52</f>
        <v>0</v>
      </c>
      <c r="U44" t="str">
        <f>'Formato 5'!G52</f>
        <v xml:space="preserve"> -   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 t="str">
        <f>'Formato 5'!D53</f>
        <v xml:space="preserve"> -   </v>
      </c>
      <c r="S45">
        <f>'Formato 5'!E53</f>
        <v>0</v>
      </c>
      <c r="T45">
        <f>'Formato 5'!F53</f>
        <v>0</v>
      </c>
      <c r="U45" t="str">
        <f>'Formato 5'!G53</f>
        <v xml:space="preserve"> -   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A130" zoomScale="80" zoomScaleNormal="80" zoomScalePageLayoutView="90" workbookViewId="0">
      <selection activeCell="D159" sqref="D159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85" t="s">
        <v>3285</v>
      </c>
      <c r="B1" s="184"/>
      <c r="C1" s="184"/>
      <c r="D1" s="184"/>
      <c r="E1" s="184"/>
      <c r="F1" s="184"/>
      <c r="G1" s="184"/>
    </row>
    <row r="2" spans="1:7" ht="14.25" x14ac:dyDescent="0.45">
      <c r="A2" s="188" t="str">
        <f>ENTE_PUBLICO_A</f>
        <v>INSTITUTO MUNICIPAL DE VIVIENDA DE DOLORES HIDALGO, CIN, GTO., Gobierno del Estado de Guanajuato (a)</v>
      </c>
      <c r="B2" s="188"/>
      <c r="C2" s="188"/>
      <c r="D2" s="188"/>
      <c r="E2" s="188"/>
      <c r="F2" s="188"/>
      <c r="G2" s="188"/>
    </row>
    <row r="3" spans="1:7" x14ac:dyDescent="0.25">
      <c r="A3" s="189" t="s">
        <v>277</v>
      </c>
      <c r="B3" s="189"/>
      <c r="C3" s="189"/>
      <c r="D3" s="189"/>
      <c r="E3" s="189"/>
      <c r="F3" s="189"/>
      <c r="G3" s="189"/>
    </row>
    <row r="4" spans="1:7" x14ac:dyDescent="0.25">
      <c r="A4" s="189" t="s">
        <v>278</v>
      </c>
      <c r="B4" s="189"/>
      <c r="C4" s="189"/>
      <c r="D4" s="189"/>
      <c r="E4" s="189"/>
      <c r="F4" s="189"/>
      <c r="G4" s="189"/>
    </row>
    <row r="5" spans="1:7" ht="14.25" x14ac:dyDescent="0.45">
      <c r="A5" s="190" t="str">
        <f>TRIMESTRE</f>
        <v>Del 1 de enero al 31 de diciembre de 2020 (b)</v>
      </c>
      <c r="B5" s="190"/>
      <c r="C5" s="190"/>
      <c r="D5" s="190"/>
      <c r="E5" s="190"/>
      <c r="F5" s="190"/>
      <c r="G5" s="190"/>
    </row>
    <row r="6" spans="1:7" ht="14.25" x14ac:dyDescent="0.45">
      <c r="A6" s="182" t="s">
        <v>118</v>
      </c>
      <c r="B6" s="182"/>
      <c r="C6" s="182"/>
      <c r="D6" s="182"/>
      <c r="E6" s="182"/>
      <c r="F6" s="182"/>
      <c r="G6" s="182"/>
    </row>
    <row r="7" spans="1:7" ht="15" customHeight="1" x14ac:dyDescent="0.25">
      <c r="A7" s="186" t="s">
        <v>0</v>
      </c>
      <c r="B7" s="186" t="s">
        <v>279</v>
      </c>
      <c r="C7" s="186"/>
      <c r="D7" s="186"/>
      <c r="E7" s="186"/>
      <c r="F7" s="186"/>
      <c r="G7" s="187" t="s">
        <v>280</v>
      </c>
    </row>
    <row r="8" spans="1:7" ht="30" x14ac:dyDescent="0.25">
      <c r="A8" s="186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86"/>
    </row>
    <row r="9" spans="1:7" ht="14.25" x14ac:dyDescent="0.45">
      <c r="A9" s="82" t="s">
        <v>285</v>
      </c>
      <c r="B9" s="79">
        <f>SUM(B10,B18,B28,B38,B48,B58,B62,B71,B75)</f>
        <v>4388232.4000000004</v>
      </c>
      <c r="C9" s="79">
        <f t="shared" ref="C9:G9" si="0">SUM(C10,C18,C28,C38,C48,C58,C62,C71,C75)</f>
        <v>4072374</v>
      </c>
      <c r="D9" s="79">
        <f t="shared" si="0"/>
        <v>8460606.4000000004</v>
      </c>
      <c r="E9" s="79">
        <f t="shared" si="0"/>
        <v>7165701.4699999997</v>
      </c>
      <c r="F9" s="79">
        <f t="shared" si="0"/>
        <v>4717982.3099999996</v>
      </c>
      <c r="G9" s="79">
        <f t="shared" si="0"/>
        <v>1294904.9300000002</v>
      </c>
    </row>
    <row r="10" spans="1:7" x14ac:dyDescent="0.25">
      <c r="A10" s="83" t="s">
        <v>286</v>
      </c>
      <c r="B10" s="80">
        <f>SUM(B11:B17)</f>
        <v>2633952.5699999998</v>
      </c>
      <c r="C10" s="80">
        <f t="shared" ref="C10:F10" si="1">SUM(C11:C17)</f>
        <v>482714.15</v>
      </c>
      <c r="D10" s="80">
        <f t="shared" si="1"/>
        <v>3116666.72</v>
      </c>
      <c r="E10" s="80">
        <f t="shared" si="1"/>
        <v>3058397.89</v>
      </c>
      <c r="F10" s="80">
        <f t="shared" si="1"/>
        <v>2941500.94</v>
      </c>
      <c r="G10" s="80">
        <f>SUM(G11:G17)</f>
        <v>58268.83</v>
      </c>
    </row>
    <row r="11" spans="1:7" x14ac:dyDescent="0.25">
      <c r="A11" s="84" t="s">
        <v>287</v>
      </c>
      <c r="B11" s="155">
        <v>1344344.17</v>
      </c>
      <c r="C11" s="155">
        <v>278079.21000000002</v>
      </c>
      <c r="D11" s="156">
        <v>1622423.38</v>
      </c>
      <c r="E11" s="155">
        <v>1586625.55</v>
      </c>
      <c r="F11" s="155">
        <v>1586625.55</v>
      </c>
      <c r="G11" s="156">
        <v>35797.83</v>
      </c>
    </row>
    <row r="12" spans="1:7" x14ac:dyDescent="0.25">
      <c r="A12" s="84" t="s">
        <v>288</v>
      </c>
      <c r="B12" s="155">
        <v>310050.2</v>
      </c>
      <c r="C12" s="155">
        <v>138991.15</v>
      </c>
      <c r="D12" s="156">
        <v>449041.35</v>
      </c>
      <c r="E12" s="155">
        <v>439616.33</v>
      </c>
      <c r="F12" s="155">
        <v>322719.38</v>
      </c>
      <c r="G12" s="156">
        <v>9425.02</v>
      </c>
    </row>
    <row r="13" spans="1:7" x14ac:dyDescent="0.25">
      <c r="A13" s="84" t="s">
        <v>289</v>
      </c>
      <c r="B13" s="155">
        <v>367295</v>
      </c>
      <c r="C13" s="155">
        <v>36573.64</v>
      </c>
      <c r="D13" s="156">
        <v>403868.64</v>
      </c>
      <c r="E13" s="155">
        <v>403868.64</v>
      </c>
      <c r="F13" s="155">
        <v>403868.64</v>
      </c>
      <c r="G13" s="156" t="s">
        <v>3303</v>
      </c>
    </row>
    <row r="14" spans="1:7" x14ac:dyDescent="0.25">
      <c r="A14" s="84" t="s">
        <v>290</v>
      </c>
      <c r="B14" s="155">
        <v>277607.2</v>
      </c>
      <c r="C14" s="155">
        <v>60000</v>
      </c>
      <c r="D14" s="156">
        <v>337607.2</v>
      </c>
      <c r="E14" s="155">
        <v>324921.21999999997</v>
      </c>
      <c r="F14" s="155">
        <v>324921.21999999997</v>
      </c>
      <c r="G14" s="156">
        <v>12685.98</v>
      </c>
    </row>
    <row r="15" spans="1:7" x14ac:dyDescent="0.25">
      <c r="A15" s="84" t="s">
        <v>291</v>
      </c>
      <c r="B15" s="155">
        <v>334656</v>
      </c>
      <c r="C15" s="155">
        <v>-30929.85</v>
      </c>
      <c r="D15" s="156">
        <v>303726.15000000002</v>
      </c>
      <c r="E15" s="155">
        <v>303366.15000000002</v>
      </c>
      <c r="F15" s="155">
        <v>303366.15000000002</v>
      </c>
      <c r="G15" s="156">
        <v>360</v>
      </c>
    </row>
    <row r="16" spans="1:7" x14ac:dyDescent="0.25">
      <c r="A16" s="84" t="s">
        <v>292</v>
      </c>
      <c r="B16" s="156"/>
      <c r="C16" s="156"/>
      <c r="D16" s="156" t="s">
        <v>3303</v>
      </c>
      <c r="E16" s="156"/>
      <c r="F16" s="156"/>
      <c r="G16" s="156" t="s">
        <v>3303</v>
      </c>
    </row>
    <row r="17" spans="1:7" x14ac:dyDescent="0.25">
      <c r="A17" s="84" t="s">
        <v>293</v>
      </c>
      <c r="B17" s="156"/>
      <c r="C17" s="156"/>
      <c r="D17" s="156" t="s">
        <v>3303</v>
      </c>
      <c r="E17" s="156"/>
      <c r="F17" s="156"/>
      <c r="G17" s="156" t="s">
        <v>3303</v>
      </c>
    </row>
    <row r="18" spans="1:7" x14ac:dyDescent="0.25">
      <c r="A18" s="83" t="s">
        <v>294</v>
      </c>
      <c r="B18" s="80">
        <f>SUM(B19:B27)</f>
        <v>231224</v>
      </c>
      <c r="C18" s="80">
        <f t="shared" ref="C18:F18" si="2">SUM(C19:C27)</f>
        <v>-15476.150000000001</v>
      </c>
      <c r="D18" s="80">
        <f t="shared" si="2"/>
        <v>215747.85</v>
      </c>
      <c r="E18" s="80">
        <f t="shared" si="2"/>
        <v>169455.15</v>
      </c>
      <c r="F18" s="80">
        <f t="shared" si="2"/>
        <v>169455.15</v>
      </c>
      <c r="G18" s="80">
        <f>SUM(G19:G27)</f>
        <v>46292.7</v>
      </c>
    </row>
    <row r="19" spans="1:7" x14ac:dyDescent="0.25">
      <c r="A19" s="84" t="s">
        <v>295</v>
      </c>
      <c r="B19" s="155">
        <v>40000</v>
      </c>
      <c r="C19" s="155">
        <v>26000</v>
      </c>
      <c r="D19" s="156">
        <v>66000</v>
      </c>
      <c r="E19" s="155">
        <v>52075.93</v>
      </c>
      <c r="F19" s="155">
        <v>52075.93</v>
      </c>
      <c r="G19" s="156">
        <v>13924.07</v>
      </c>
    </row>
    <row r="20" spans="1:7" x14ac:dyDescent="0.25">
      <c r="A20" s="84" t="s">
        <v>296</v>
      </c>
      <c r="B20" s="155">
        <v>12224</v>
      </c>
      <c r="C20" s="155">
        <v>-10224</v>
      </c>
      <c r="D20" s="156">
        <v>2000</v>
      </c>
      <c r="E20" s="155" t="s">
        <v>3303</v>
      </c>
      <c r="F20" s="155" t="s">
        <v>3303</v>
      </c>
      <c r="G20" s="156">
        <v>2000</v>
      </c>
    </row>
    <row r="21" spans="1:7" x14ac:dyDescent="0.25">
      <c r="A21" s="84" t="s">
        <v>297</v>
      </c>
      <c r="B21" s="156"/>
      <c r="C21" s="156"/>
      <c r="D21" s="156" t="s">
        <v>3303</v>
      </c>
      <c r="E21" s="156"/>
      <c r="F21" s="156"/>
      <c r="G21" s="156" t="s">
        <v>3303</v>
      </c>
    </row>
    <row r="22" spans="1:7" x14ac:dyDescent="0.25">
      <c r="A22" s="84" t="s">
        <v>298</v>
      </c>
      <c r="B22" s="155">
        <v>38000</v>
      </c>
      <c r="C22" s="155">
        <v>-9252.15</v>
      </c>
      <c r="D22" s="156">
        <v>28747.85</v>
      </c>
      <c r="E22" s="155">
        <v>4549.4399999999996</v>
      </c>
      <c r="F22" s="155">
        <v>4549.4399999999996</v>
      </c>
      <c r="G22" s="156">
        <v>24198.41</v>
      </c>
    </row>
    <row r="23" spans="1:7" x14ac:dyDescent="0.25">
      <c r="A23" s="84" t="s">
        <v>299</v>
      </c>
      <c r="B23" s="156"/>
      <c r="C23" s="156"/>
      <c r="D23" s="156" t="s">
        <v>3303</v>
      </c>
      <c r="E23" s="156"/>
      <c r="F23" s="156"/>
      <c r="G23" s="156" t="s">
        <v>3303</v>
      </c>
    </row>
    <row r="24" spans="1:7" x14ac:dyDescent="0.25">
      <c r="A24" s="84" t="s">
        <v>300</v>
      </c>
      <c r="B24" s="155">
        <v>122000</v>
      </c>
      <c r="C24" s="155">
        <v>-35000</v>
      </c>
      <c r="D24" s="156">
        <v>87000</v>
      </c>
      <c r="E24" s="155">
        <v>86400</v>
      </c>
      <c r="F24" s="155">
        <v>86400</v>
      </c>
      <c r="G24" s="156">
        <v>600</v>
      </c>
    </row>
    <row r="25" spans="1:7" x14ac:dyDescent="0.25">
      <c r="A25" s="84" t="s">
        <v>301</v>
      </c>
      <c r="B25" s="155">
        <v>10000</v>
      </c>
      <c r="C25" s="155" t="s">
        <v>3303</v>
      </c>
      <c r="D25" s="156">
        <v>10000</v>
      </c>
      <c r="E25" s="155">
        <v>9918</v>
      </c>
      <c r="F25" s="155">
        <v>9918</v>
      </c>
      <c r="G25" s="156">
        <v>82</v>
      </c>
    </row>
    <row r="26" spans="1:7" x14ac:dyDescent="0.25">
      <c r="A26" s="84" t="s">
        <v>302</v>
      </c>
      <c r="B26" s="156"/>
      <c r="C26" s="156"/>
      <c r="D26" s="156" t="s">
        <v>3303</v>
      </c>
      <c r="E26" s="156"/>
      <c r="F26" s="156"/>
      <c r="G26" s="156" t="s">
        <v>3303</v>
      </c>
    </row>
    <row r="27" spans="1:7" x14ac:dyDescent="0.25">
      <c r="A27" s="84" t="s">
        <v>303</v>
      </c>
      <c r="B27" s="155">
        <v>9000</v>
      </c>
      <c r="C27" s="155">
        <v>13000</v>
      </c>
      <c r="D27" s="156">
        <v>22000</v>
      </c>
      <c r="E27" s="155">
        <v>16511.78</v>
      </c>
      <c r="F27" s="155">
        <v>16511.78</v>
      </c>
      <c r="G27" s="156">
        <v>5488.22</v>
      </c>
    </row>
    <row r="28" spans="1:7" x14ac:dyDescent="0.25">
      <c r="A28" s="83" t="s">
        <v>304</v>
      </c>
      <c r="B28" s="80">
        <f>SUM(B29:B37)</f>
        <v>294000</v>
      </c>
      <c r="C28" s="80">
        <f t="shared" ref="C28:G28" si="3">SUM(C29:C37)</f>
        <v>824638.52</v>
      </c>
      <c r="D28" s="80">
        <f t="shared" si="3"/>
        <v>1118638.52</v>
      </c>
      <c r="E28" s="80">
        <f t="shared" si="3"/>
        <v>1044058.3400000001</v>
      </c>
      <c r="F28" s="80">
        <f t="shared" si="3"/>
        <v>1010820.2000000001</v>
      </c>
      <c r="G28" s="80">
        <f t="shared" si="3"/>
        <v>74580.180000000008</v>
      </c>
    </row>
    <row r="29" spans="1:7" x14ac:dyDescent="0.25">
      <c r="A29" s="84" t="s">
        <v>305</v>
      </c>
      <c r="B29" s="155">
        <v>42000</v>
      </c>
      <c r="C29" s="155">
        <v>500</v>
      </c>
      <c r="D29" s="156">
        <v>42500</v>
      </c>
      <c r="E29" s="155">
        <v>37309.919999999998</v>
      </c>
      <c r="F29" s="155">
        <v>35524.92</v>
      </c>
      <c r="G29" s="156">
        <v>5190.08</v>
      </c>
    </row>
    <row r="30" spans="1:7" x14ac:dyDescent="0.25">
      <c r="A30" s="84" t="s">
        <v>306</v>
      </c>
      <c r="B30" s="155">
        <v>10000</v>
      </c>
      <c r="C30" s="155" t="s">
        <v>3303</v>
      </c>
      <c r="D30" s="156">
        <v>10000</v>
      </c>
      <c r="E30" s="155">
        <v>5107.4799999999996</v>
      </c>
      <c r="F30" s="155">
        <v>5107.4799999999996</v>
      </c>
      <c r="G30" s="156">
        <v>4892.5200000000004</v>
      </c>
    </row>
    <row r="31" spans="1:7" x14ac:dyDescent="0.25">
      <c r="A31" s="84" t="s">
        <v>307</v>
      </c>
      <c r="B31" s="155">
        <v>53000</v>
      </c>
      <c r="C31" s="155">
        <v>303860</v>
      </c>
      <c r="D31" s="156">
        <v>356860</v>
      </c>
      <c r="E31" s="155">
        <v>332340</v>
      </c>
      <c r="F31" s="155">
        <v>332340</v>
      </c>
      <c r="G31" s="156">
        <v>24520</v>
      </c>
    </row>
    <row r="32" spans="1:7" x14ac:dyDescent="0.25">
      <c r="A32" s="84" t="s">
        <v>308</v>
      </c>
      <c r="B32" s="155">
        <v>25000</v>
      </c>
      <c r="C32" s="155">
        <v>49750</v>
      </c>
      <c r="D32" s="156">
        <v>74750</v>
      </c>
      <c r="E32" s="155">
        <v>65526.96</v>
      </c>
      <c r="F32" s="155">
        <v>47995.82</v>
      </c>
      <c r="G32" s="156">
        <v>9223.0400000000009</v>
      </c>
    </row>
    <row r="33" spans="1:7" x14ac:dyDescent="0.25">
      <c r="A33" s="84" t="s">
        <v>309</v>
      </c>
      <c r="B33" s="155">
        <v>38000</v>
      </c>
      <c r="C33" s="155">
        <v>22944</v>
      </c>
      <c r="D33" s="156">
        <v>60944</v>
      </c>
      <c r="E33" s="155">
        <v>50541.2</v>
      </c>
      <c r="F33" s="155">
        <v>50541.2</v>
      </c>
      <c r="G33" s="156">
        <v>10402.799999999999</v>
      </c>
    </row>
    <row r="34" spans="1:7" x14ac:dyDescent="0.25">
      <c r="A34" s="84" t="s">
        <v>310</v>
      </c>
      <c r="B34" s="155">
        <v>60000</v>
      </c>
      <c r="C34" s="155">
        <v>108000</v>
      </c>
      <c r="D34" s="156">
        <v>168000</v>
      </c>
      <c r="E34" s="155">
        <v>158000</v>
      </c>
      <c r="F34" s="155">
        <v>158000</v>
      </c>
      <c r="G34" s="156">
        <v>10000</v>
      </c>
    </row>
    <row r="35" spans="1:7" x14ac:dyDescent="0.25">
      <c r="A35" s="84" t="s">
        <v>311</v>
      </c>
      <c r="B35" s="155">
        <v>10000</v>
      </c>
      <c r="C35" s="155">
        <v>10000</v>
      </c>
      <c r="D35" s="156">
        <v>20000</v>
      </c>
      <c r="E35" s="155">
        <v>10073</v>
      </c>
      <c r="F35" s="155">
        <v>10073</v>
      </c>
      <c r="G35" s="156">
        <v>9927</v>
      </c>
    </row>
    <row r="36" spans="1:7" x14ac:dyDescent="0.25">
      <c r="A36" s="84" t="s">
        <v>312</v>
      </c>
      <c r="B36" s="155">
        <v>6000</v>
      </c>
      <c r="C36" s="155">
        <v>10574</v>
      </c>
      <c r="D36" s="156">
        <v>16574</v>
      </c>
      <c r="E36" s="155">
        <v>16149.26</v>
      </c>
      <c r="F36" s="155">
        <v>16149.26</v>
      </c>
      <c r="G36" s="156">
        <v>424.74</v>
      </c>
    </row>
    <row r="37" spans="1:7" x14ac:dyDescent="0.25">
      <c r="A37" s="84" t="s">
        <v>313</v>
      </c>
      <c r="B37" s="155">
        <v>50000</v>
      </c>
      <c r="C37" s="155">
        <v>319010.52</v>
      </c>
      <c r="D37" s="156">
        <v>369010.52</v>
      </c>
      <c r="E37" s="155">
        <v>369010.52</v>
      </c>
      <c r="F37" s="155">
        <v>355088.52</v>
      </c>
      <c r="G37" s="156" t="s">
        <v>3303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4">SUM(C39:C47)</f>
        <v>0</v>
      </c>
      <c r="D38" s="80">
        <f t="shared" si="4"/>
        <v>0</v>
      </c>
      <c r="E38" s="80">
        <f t="shared" si="4"/>
        <v>0</v>
      </c>
      <c r="F38" s="80">
        <f t="shared" si="4"/>
        <v>0</v>
      </c>
      <c r="G38" s="80">
        <f t="shared" si="4"/>
        <v>0</v>
      </c>
    </row>
    <row r="39" spans="1:7" x14ac:dyDescent="0.25">
      <c r="A39" s="84" t="s">
        <v>315</v>
      </c>
      <c r="B39" s="155">
        <v>0</v>
      </c>
      <c r="C39" s="155">
        <v>0</v>
      </c>
      <c r="D39" s="156">
        <f t="shared" ref="D39" si="5">B39+C39</f>
        <v>0</v>
      </c>
      <c r="E39" s="155">
        <v>0</v>
      </c>
      <c r="F39" s="155">
        <v>0</v>
      </c>
      <c r="G39" s="156">
        <f t="shared" ref="G39" si="6">D39-E39</f>
        <v>0</v>
      </c>
    </row>
    <row r="40" spans="1:7" x14ac:dyDescent="0.25">
      <c r="A40" s="84" t="s">
        <v>316</v>
      </c>
      <c r="B40" s="156"/>
      <c r="C40" s="156"/>
      <c r="D40" s="156" t="s">
        <v>3303</v>
      </c>
      <c r="E40" s="156"/>
      <c r="F40" s="156"/>
      <c r="G40" s="156" t="s">
        <v>3303</v>
      </c>
    </row>
    <row r="41" spans="1:7" x14ac:dyDescent="0.25">
      <c r="A41" s="84" t="s">
        <v>317</v>
      </c>
      <c r="B41" s="156"/>
      <c r="C41" s="156"/>
      <c r="D41" s="156" t="s">
        <v>3303</v>
      </c>
      <c r="E41" s="156"/>
      <c r="F41" s="156"/>
      <c r="G41" s="156" t="s">
        <v>3303</v>
      </c>
    </row>
    <row r="42" spans="1:7" x14ac:dyDescent="0.25">
      <c r="A42" s="84" t="s">
        <v>318</v>
      </c>
      <c r="B42" s="156"/>
      <c r="C42" s="156"/>
      <c r="D42" s="156" t="s">
        <v>3303</v>
      </c>
      <c r="E42" s="156"/>
      <c r="F42" s="156"/>
      <c r="G42" s="156" t="s">
        <v>3303</v>
      </c>
    </row>
    <row r="43" spans="1:7" x14ac:dyDescent="0.25">
      <c r="A43" s="84" t="s">
        <v>319</v>
      </c>
      <c r="B43" s="156"/>
      <c r="C43" s="156"/>
      <c r="D43" s="156" t="s">
        <v>3303</v>
      </c>
      <c r="E43" s="156"/>
      <c r="F43" s="156"/>
      <c r="G43" s="156" t="s">
        <v>3303</v>
      </c>
    </row>
    <row r="44" spans="1:7" x14ac:dyDescent="0.25">
      <c r="A44" s="84" t="s">
        <v>320</v>
      </c>
      <c r="B44" s="156"/>
      <c r="C44" s="156"/>
      <c r="D44" s="156" t="s">
        <v>3303</v>
      </c>
      <c r="E44" s="156"/>
      <c r="F44" s="156"/>
      <c r="G44" s="156" t="s">
        <v>3303</v>
      </c>
    </row>
    <row r="45" spans="1:7" x14ac:dyDescent="0.25">
      <c r="A45" s="84" t="s">
        <v>321</v>
      </c>
      <c r="B45" s="156"/>
      <c r="C45" s="156"/>
      <c r="D45" s="156" t="s">
        <v>3303</v>
      </c>
      <c r="E45" s="156"/>
      <c r="F45" s="156"/>
      <c r="G45" s="156" t="s">
        <v>3303</v>
      </c>
    </row>
    <row r="46" spans="1:7" x14ac:dyDescent="0.25">
      <c r="A46" s="84" t="s">
        <v>322</v>
      </c>
      <c r="B46" s="156"/>
      <c r="C46" s="156"/>
      <c r="D46" s="156" t="s">
        <v>3303</v>
      </c>
      <c r="E46" s="156"/>
      <c r="F46" s="156"/>
      <c r="G46" s="156" t="s">
        <v>3303</v>
      </c>
    </row>
    <row r="47" spans="1:7" x14ac:dyDescent="0.25">
      <c r="A47" s="84" t="s">
        <v>323</v>
      </c>
      <c r="B47" s="156"/>
      <c r="C47" s="156"/>
      <c r="D47" s="156" t="s">
        <v>3303</v>
      </c>
      <c r="E47" s="156"/>
      <c r="F47" s="156"/>
      <c r="G47" s="156" t="s">
        <v>3303</v>
      </c>
    </row>
    <row r="48" spans="1:7" x14ac:dyDescent="0.25">
      <c r="A48" s="83" t="s">
        <v>324</v>
      </c>
      <c r="B48" s="80"/>
      <c r="C48" s="161">
        <f>C49+C52</f>
        <v>465498</v>
      </c>
      <c r="D48" s="161">
        <f t="shared" ref="D48:F48" si="7">D49+D52</f>
        <v>465498</v>
      </c>
      <c r="E48" s="161">
        <f t="shared" si="7"/>
        <v>451662</v>
      </c>
      <c r="F48" s="161">
        <f t="shared" si="7"/>
        <v>411704</v>
      </c>
      <c r="G48" s="161">
        <f>G49</f>
        <v>13836</v>
      </c>
    </row>
    <row r="49" spans="1:7" x14ac:dyDescent="0.25">
      <c r="A49" s="84" t="s">
        <v>325</v>
      </c>
      <c r="B49" s="155" t="s">
        <v>3303</v>
      </c>
      <c r="C49" s="155">
        <v>105008</v>
      </c>
      <c r="D49" s="156">
        <v>105008</v>
      </c>
      <c r="E49" s="155">
        <v>91172</v>
      </c>
      <c r="F49" s="155">
        <v>51214</v>
      </c>
      <c r="G49" s="156">
        <v>13836</v>
      </c>
    </row>
    <row r="50" spans="1:7" x14ac:dyDescent="0.25">
      <c r="A50" s="84" t="s">
        <v>326</v>
      </c>
      <c r="B50" s="156"/>
      <c r="C50" s="156"/>
      <c r="D50" s="156" t="s">
        <v>3303</v>
      </c>
      <c r="E50" s="156"/>
      <c r="F50" s="156"/>
      <c r="G50" s="156" t="s">
        <v>3303</v>
      </c>
    </row>
    <row r="51" spans="1:7" x14ac:dyDescent="0.25">
      <c r="A51" s="84" t="s">
        <v>327</v>
      </c>
      <c r="B51" s="156"/>
      <c r="C51" s="156"/>
      <c r="D51" s="156" t="s">
        <v>3303</v>
      </c>
      <c r="E51" s="156"/>
      <c r="F51" s="156"/>
      <c r="G51" s="156" t="s">
        <v>3303</v>
      </c>
    </row>
    <row r="52" spans="1:7" x14ac:dyDescent="0.25">
      <c r="A52" s="84" t="s">
        <v>328</v>
      </c>
      <c r="B52" s="156" t="s">
        <v>3303</v>
      </c>
      <c r="C52" s="156">
        <v>360490</v>
      </c>
      <c r="D52" s="156">
        <v>360490</v>
      </c>
      <c r="E52" s="156">
        <v>360490</v>
      </c>
      <c r="F52" s="156">
        <v>360490</v>
      </c>
      <c r="G52" s="156" t="s">
        <v>3303</v>
      </c>
    </row>
    <row r="53" spans="1:7" x14ac:dyDescent="0.25">
      <c r="A53" s="84" t="s">
        <v>329</v>
      </c>
      <c r="B53" s="156"/>
      <c r="C53" s="156"/>
      <c r="D53" s="156" t="s">
        <v>3303</v>
      </c>
      <c r="E53" s="156"/>
      <c r="F53" s="156"/>
      <c r="G53" s="156" t="s">
        <v>3303</v>
      </c>
    </row>
    <row r="54" spans="1:7" x14ac:dyDescent="0.25">
      <c r="A54" s="84" t="s">
        <v>330</v>
      </c>
      <c r="B54" s="156"/>
      <c r="C54" s="156"/>
      <c r="D54" s="156" t="s">
        <v>3303</v>
      </c>
      <c r="E54" s="156"/>
      <c r="F54" s="156"/>
      <c r="G54" s="156" t="s">
        <v>3303</v>
      </c>
    </row>
    <row r="55" spans="1:7" x14ac:dyDescent="0.25">
      <c r="A55" s="84" t="s">
        <v>331</v>
      </c>
      <c r="B55" s="156"/>
      <c r="C55" s="156"/>
      <c r="D55" s="156" t="s">
        <v>3303</v>
      </c>
      <c r="E55" s="156"/>
      <c r="F55" s="156"/>
      <c r="G55" s="156" t="s">
        <v>3303</v>
      </c>
    </row>
    <row r="56" spans="1:7" x14ac:dyDescent="0.25">
      <c r="A56" s="84" t="s">
        <v>332</v>
      </c>
      <c r="B56" s="156"/>
      <c r="C56" s="156"/>
      <c r="D56" s="156" t="s">
        <v>3303</v>
      </c>
      <c r="E56" s="156"/>
      <c r="F56" s="156"/>
      <c r="G56" s="156" t="s">
        <v>3303</v>
      </c>
    </row>
    <row r="57" spans="1:7" x14ac:dyDescent="0.25">
      <c r="A57" s="84" t="s">
        <v>333</v>
      </c>
      <c r="B57" s="156"/>
      <c r="C57" s="156"/>
      <c r="D57" s="156" t="s">
        <v>3303</v>
      </c>
      <c r="E57" s="156"/>
      <c r="F57" s="156"/>
      <c r="G57" s="156" t="s">
        <v>3303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8">SUM(C59:C61)</f>
        <v>2454953.9700000002</v>
      </c>
      <c r="D58" s="80">
        <f t="shared" si="8"/>
        <v>2454953.9700000002</v>
      </c>
      <c r="E58" s="80">
        <f t="shared" si="8"/>
        <v>2442128.09</v>
      </c>
      <c r="F58" s="80">
        <f t="shared" si="8"/>
        <v>184502.02</v>
      </c>
      <c r="G58" s="80">
        <f t="shared" si="8"/>
        <v>12825.880000000001</v>
      </c>
    </row>
    <row r="59" spans="1:7" x14ac:dyDescent="0.25">
      <c r="A59" s="84" t="s">
        <v>335</v>
      </c>
      <c r="B59" s="155" t="s">
        <v>3303</v>
      </c>
      <c r="C59" s="155">
        <v>190139.95</v>
      </c>
      <c r="D59" s="156">
        <v>190139.95</v>
      </c>
      <c r="E59" s="155">
        <v>184502.02</v>
      </c>
      <c r="F59" s="155">
        <v>184502.02</v>
      </c>
      <c r="G59" s="156">
        <v>5637.93</v>
      </c>
    </row>
    <row r="60" spans="1:7" x14ac:dyDescent="0.25">
      <c r="A60" s="84" t="s">
        <v>336</v>
      </c>
      <c r="B60" s="156" t="s">
        <v>3303</v>
      </c>
      <c r="C60" s="156">
        <v>2264814.02</v>
      </c>
      <c r="D60" s="156">
        <v>2264814.02</v>
      </c>
      <c r="E60" s="156">
        <v>2257626.0699999998</v>
      </c>
      <c r="F60" s="156" t="s">
        <v>3303</v>
      </c>
      <c r="G60" s="156">
        <v>7187.95</v>
      </c>
    </row>
    <row r="61" spans="1:7" x14ac:dyDescent="0.25">
      <c r="A61" s="84" t="s">
        <v>337</v>
      </c>
      <c r="B61" s="156"/>
      <c r="C61" s="156"/>
      <c r="D61" s="156" t="s">
        <v>3303</v>
      </c>
      <c r="E61" s="156"/>
      <c r="F61" s="156"/>
      <c r="G61" s="156" t="s">
        <v>3303</v>
      </c>
    </row>
    <row r="62" spans="1:7" x14ac:dyDescent="0.25">
      <c r="A62" s="83" t="s">
        <v>338</v>
      </c>
      <c r="B62" s="80">
        <f>SUM(B63:B67,B69:B70)</f>
        <v>1229055.83</v>
      </c>
      <c r="C62" s="80">
        <f t="shared" ref="C62:G62" si="9">SUM(C63:C67,C69:C70)</f>
        <v>-139954.49</v>
      </c>
      <c r="D62" s="80">
        <f t="shared" si="9"/>
        <v>1089101.3400000001</v>
      </c>
      <c r="E62" s="80">
        <f t="shared" si="9"/>
        <v>0</v>
      </c>
      <c r="F62" s="80">
        <f t="shared" si="9"/>
        <v>0</v>
      </c>
      <c r="G62" s="80">
        <f t="shared" si="9"/>
        <v>1089101.3400000001</v>
      </c>
    </row>
    <row r="63" spans="1:7" x14ac:dyDescent="0.25">
      <c r="A63" s="84" t="s">
        <v>339</v>
      </c>
      <c r="B63" s="156"/>
      <c r="C63" s="156"/>
      <c r="D63" s="156" t="s">
        <v>3303</v>
      </c>
      <c r="E63" s="156"/>
      <c r="F63" s="156"/>
      <c r="G63" s="156" t="s">
        <v>3303</v>
      </c>
    </row>
    <row r="64" spans="1:7" x14ac:dyDescent="0.25">
      <c r="A64" s="84" t="s">
        <v>340</v>
      </c>
      <c r="B64" s="156"/>
      <c r="C64" s="156"/>
      <c r="D64" s="156" t="s">
        <v>3303</v>
      </c>
      <c r="E64" s="156"/>
      <c r="F64" s="156"/>
      <c r="G64" s="156" t="s">
        <v>3303</v>
      </c>
    </row>
    <row r="65" spans="1:7" x14ac:dyDescent="0.25">
      <c r="A65" s="84" t="s">
        <v>341</v>
      </c>
      <c r="B65" s="156"/>
      <c r="C65" s="156"/>
      <c r="D65" s="156" t="s">
        <v>3303</v>
      </c>
      <c r="E65" s="156"/>
      <c r="F65" s="156"/>
      <c r="G65" s="156" t="s">
        <v>3303</v>
      </c>
    </row>
    <row r="66" spans="1:7" x14ac:dyDescent="0.25">
      <c r="A66" s="84" t="s">
        <v>342</v>
      </c>
      <c r="B66" s="156"/>
      <c r="C66" s="156"/>
      <c r="D66" s="156" t="s">
        <v>3303</v>
      </c>
      <c r="E66" s="156"/>
      <c r="F66" s="156"/>
      <c r="G66" s="156" t="s">
        <v>3303</v>
      </c>
    </row>
    <row r="67" spans="1:7" x14ac:dyDescent="0.25">
      <c r="A67" s="84" t="s">
        <v>343</v>
      </c>
      <c r="B67" s="156"/>
      <c r="C67" s="156"/>
      <c r="D67" s="156" t="s">
        <v>3303</v>
      </c>
      <c r="E67" s="156"/>
      <c r="F67" s="156"/>
      <c r="G67" s="156" t="s">
        <v>3303</v>
      </c>
    </row>
    <row r="68" spans="1:7" x14ac:dyDescent="0.25">
      <c r="A68" s="84" t="s">
        <v>3301</v>
      </c>
      <c r="B68" s="156"/>
      <c r="C68" s="156"/>
      <c r="D68" s="156" t="s">
        <v>3303</v>
      </c>
      <c r="E68" s="156"/>
      <c r="F68" s="156"/>
      <c r="G68" s="156" t="s">
        <v>3303</v>
      </c>
    </row>
    <row r="69" spans="1:7" x14ac:dyDescent="0.25">
      <c r="A69" s="84" t="s">
        <v>345</v>
      </c>
      <c r="B69" s="156"/>
      <c r="C69" s="156"/>
      <c r="D69" s="156" t="s">
        <v>3303</v>
      </c>
      <c r="E69" s="156"/>
      <c r="F69" s="156"/>
      <c r="G69" s="156" t="s">
        <v>3303</v>
      </c>
    </row>
    <row r="70" spans="1:7" x14ac:dyDescent="0.25">
      <c r="A70" s="84" t="s">
        <v>346</v>
      </c>
      <c r="B70" s="155">
        <v>1229055.83</v>
      </c>
      <c r="C70" s="155">
        <v>-139954.49</v>
      </c>
      <c r="D70" s="156">
        <v>1089101.3400000001</v>
      </c>
      <c r="E70" s="155" t="s">
        <v>3303</v>
      </c>
      <c r="F70" s="155" t="s">
        <v>3303</v>
      </c>
      <c r="G70" s="156">
        <v>1089101.3400000001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0">SUM(C72:C74)</f>
        <v>0</v>
      </c>
      <c r="D71" s="80">
        <f t="shared" si="10"/>
        <v>0</v>
      </c>
      <c r="E71" s="80">
        <f t="shared" si="10"/>
        <v>0</v>
      </c>
      <c r="F71" s="80">
        <f t="shared" si="10"/>
        <v>0</v>
      </c>
      <c r="G71" s="80">
        <f t="shared" si="10"/>
        <v>0</v>
      </c>
    </row>
    <row r="72" spans="1:7" x14ac:dyDescent="0.25">
      <c r="A72" s="84" t="s">
        <v>348</v>
      </c>
      <c r="B72" s="156"/>
      <c r="C72" s="156"/>
      <c r="D72" s="156" t="s">
        <v>3303</v>
      </c>
      <c r="E72" s="156"/>
      <c r="F72" s="156"/>
      <c r="G72" s="156" t="s">
        <v>3303</v>
      </c>
    </row>
    <row r="73" spans="1:7" x14ac:dyDescent="0.25">
      <c r="A73" s="84" t="s">
        <v>349</v>
      </c>
      <c r="B73" s="156"/>
      <c r="C73" s="156"/>
      <c r="D73" s="156" t="s">
        <v>3303</v>
      </c>
      <c r="E73" s="156"/>
      <c r="F73" s="156"/>
      <c r="G73" s="156" t="s">
        <v>3303</v>
      </c>
    </row>
    <row r="74" spans="1:7" x14ac:dyDescent="0.25">
      <c r="A74" s="84" t="s">
        <v>350</v>
      </c>
      <c r="B74" s="156"/>
      <c r="C74" s="156"/>
      <c r="D74" s="156" t="s">
        <v>3303</v>
      </c>
      <c r="E74" s="156"/>
      <c r="F74" s="156"/>
      <c r="G74" s="156" t="s">
        <v>3303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1">SUM(C76:C82)</f>
        <v>0</v>
      </c>
      <c r="D75" s="80">
        <f t="shared" si="11"/>
        <v>0</v>
      </c>
      <c r="E75" s="80">
        <f t="shared" si="11"/>
        <v>0</v>
      </c>
      <c r="F75" s="80">
        <f t="shared" si="11"/>
        <v>0</v>
      </c>
      <c r="G75" s="80">
        <f t="shared" si="11"/>
        <v>0</v>
      </c>
    </row>
    <row r="76" spans="1:7" x14ac:dyDescent="0.25">
      <c r="A76" s="84" t="s">
        <v>352</v>
      </c>
      <c r="B76" s="156"/>
      <c r="C76" s="156"/>
      <c r="D76" s="156">
        <f t="shared" ref="D76:D82" si="12">B76+C76</f>
        <v>0</v>
      </c>
      <c r="E76" s="156"/>
      <c r="F76" s="156"/>
      <c r="G76" s="156">
        <f t="shared" ref="G76:G82" si="13">D76-E76</f>
        <v>0</v>
      </c>
    </row>
    <row r="77" spans="1:7" x14ac:dyDescent="0.25">
      <c r="A77" s="84" t="s">
        <v>353</v>
      </c>
      <c r="B77" s="156"/>
      <c r="C77" s="156"/>
      <c r="D77" s="156">
        <f t="shared" si="12"/>
        <v>0</v>
      </c>
      <c r="E77" s="156"/>
      <c r="F77" s="156"/>
      <c r="G77" s="156">
        <f t="shared" si="13"/>
        <v>0</v>
      </c>
    </row>
    <row r="78" spans="1:7" x14ac:dyDescent="0.25">
      <c r="A78" s="84" t="s">
        <v>354</v>
      </c>
      <c r="B78" s="156"/>
      <c r="C78" s="156"/>
      <c r="D78" s="156">
        <f t="shared" si="12"/>
        <v>0</v>
      </c>
      <c r="E78" s="156"/>
      <c r="F78" s="156"/>
      <c r="G78" s="156">
        <f t="shared" si="13"/>
        <v>0</v>
      </c>
    </row>
    <row r="79" spans="1:7" x14ac:dyDescent="0.25">
      <c r="A79" s="84" t="s">
        <v>355</v>
      </c>
      <c r="B79" s="156"/>
      <c r="C79" s="156"/>
      <c r="D79" s="156">
        <f t="shared" si="12"/>
        <v>0</v>
      </c>
      <c r="E79" s="156"/>
      <c r="F79" s="156"/>
      <c r="G79" s="156">
        <f t="shared" si="13"/>
        <v>0</v>
      </c>
    </row>
    <row r="80" spans="1:7" x14ac:dyDescent="0.25">
      <c r="A80" s="84" t="s">
        <v>356</v>
      </c>
      <c r="B80" s="156"/>
      <c r="C80" s="156"/>
      <c r="D80" s="156">
        <f t="shared" si="12"/>
        <v>0</v>
      </c>
      <c r="E80" s="156"/>
      <c r="F80" s="156"/>
      <c r="G80" s="156">
        <f t="shared" si="13"/>
        <v>0</v>
      </c>
    </row>
    <row r="81" spans="1:7" x14ac:dyDescent="0.25">
      <c r="A81" s="84" t="s">
        <v>357</v>
      </c>
      <c r="B81" s="156"/>
      <c r="C81" s="156"/>
      <c r="D81" s="156">
        <f t="shared" si="12"/>
        <v>0</v>
      </c>
      <c r="E81" s="156"/>
      <c r="F81" s="156"/>
      <c r="G81" s="156">
        <f t="shared" si="13"/>
        <v>0</v>
      </c>
    </row>
    <row r="82" spans="1:7" x14ac:dyDescent="0.25">
      <c r="A82" s="84" t="s">
        <v>358</v>
      </c>
      <c r="B82" s="156"/>
      <c r="C82" s="156"/>
      <c r="D82" s="156">
        <f t="shared" si="12"/>
        <v>0</v>
      </c>
      <c r="E82" s="156"/>
      <c r="F82" s="156"/>
      <c r="G82" s="156">
        <f t="shared" si="13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13249888.83</v>
      </c>
      <c r="C84" s="79">
        <f t="shared" ref="C84:G84" si="14">SUM(C85,C93,C103,C113,C123,C133,C137,C146,C150)</f>
        <v>2000000</v>
      </c>
      <c r="D84" s="79">
        <f t="shared" si="14"/>
        <v>15249888.83</v>
      </c>
      <c r="E84" s="79">
        <f t="shared" si="14"/>
        <v>3227994.13</v>
      </c>
      <c r="F84" s="79">
        <f t="shared" si="14"/>
        <v>1229055.83</v>
      </c>
      <c r="G84" s="79">
        <f t="shared" si="14"/>
        <v>12021894.699999999</v>
      </c>
    </row>
    <row r="85" spans="1:7" x14ac:dyDescent="0.25">
      <c r="A85" s="83" t="s">
        <v>286</v>
      </c>
      <c r="B85" s="80">
        <f>SUM(B86:B92)</f>
        <v>1229055.83</v>
      </c>
      <c r="C85" s="80">
        <f t="shared" ref="C85:G85" si="15">SUM(C86:C92)</f>
        <v>0</v>
      </c>
      <c r="D85" s="80">
        <f t="shared" si="15"/>
        <v>1229055.83</v>
      </c>
      <c r="E85" s="80">
        <f t="shared" si="15"/>
        <v>1229055.83</v>
      </c>
      <c r="F85" s="80">
        <f t="shared" si="15"/>
        <v>1229055.83</v>
      </c>
      <c r="G85" s="80">
        <f t="shared" si="15"/>
        <v>0</v>
      </c>
    </row>
    <row r="86" spans="1:7" x14ac:dyDescent="0.25">
      <c r="A86" s="84" t="s">
        <v>287</v>
      </c>
      <c r="B86" s="155">
        <v>1229055.83</v>
      </c>
      <c r="C86" s="155" t="s">
        <v>3303</v>
      </c>
      <c r="D86" s="156">
        <v>1229055.83</v>
      </c>
      <c r="E86" s="155">
        <v>1229055.83</v>
      </c>
      <c r="F86" s="155">
        <v>1229055.83</v>
      </c>
      <c r="G86" s="156" t="s">
        <v>3303</v>
      </c>
    </row>
    <row r="87" spans="1:7" x14ac:dyDescent="0.25">
      <c r="A87" s="84" t="s">
        <v>288</v>
      </c>
      <c r="B87" s="156"/>
      <c r="C87" s="156"/>
      <c r="D87" s="156" t="s">
        <v>3303</v>
      </c>
      <c r="E87" s="156"/>
      <c r="F87" s="156"/>
      <c r="G87" s="156" t="s">
        <v>3303</v>
      </c>
    </row>
    <row r="88" spans="1:7" x14ac:dyDescent="0.25">
      <c r="A88" s="84" t="s">
        <v>289</v>
      </c>
      <c r="B88" s="156"/>
      <c r="C88" s="156"/>
      <c r="D88" s="156" t="s">
        <v>3303</v>
      </c>
      <c r="E88" s="156"/>
      <c r="F88" s="156"/>
      <c r="G88" s="156" t="s">
        <v>3303</v>
      </c>
    </row>
    <row r="89" spans="1:7" x14ac:dyDescent="0.25">
      <c r="A89" s="84" t="s">
        <v>290</v>
      </c>
      <c r="B89" s="156"/>
      <c r="C89" s="156"/>
      <c r="D89" s="156" t="s">
        <v>3303</v>
      </c>
      <c r="E89" s="156"/>
      <c r="F89" s="156"/>
      <c r="G89" s="156" t="s">
        <v>3303</v>
      </c>
    </row>
    <row r="90" spans="1:7" x14ac:dyDescent="0.25">
      <c r="A90" s="84" t="s">
        <v>291</v>
      </c>
      <c r="B90" s="156"/>
      <c r="C90" s="156"/>
      <c r="D90" s="156" t="s">
        <v>3303</v>
      </c>
      <c r="E90" s="156"/>
      <c r="F90" s="156"/>
      <c r="G90" s="156" t="s">
        <v>3303</v>
      </c>
    </row>
    <row r="91" spans="1:7" x14ac:dyDescent="0.25">
      <c r="A91" s="84" t="s">
        <v>292</v>
      </c>
      <c r="B91" s="156"/>
      <c r="C91" s="156"/>
      <c r="D91" s="156" t="s">
        <v>3303</v>
      </c>
      <c r="E91" s="156"/>
      <c r="F91" s="156"/>
      <c r="G91" s="156" t="s">
        <v>3303</v>
      </c>
    </row>
    <row r="92" spans="1:7" x14ac:dyDescent="0.25">
      <c r="A92" s="84" t="s">
        <v>293</v>
      </c>
      <c r="B92" s="156"/>
      <c r="C92" s="156"/>
      <c r="D92" s="156" t="s">
        <v>3303</v>
      </c>
      <c r="E92" s="156"/>
      <c r="F92" s="156"/>
      <c r="G92" s="156" t="s">
        <v>3303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16">SUM(C94:C102)</f>
        <v>0</v>
      </c>
      <c r="D93" s="80">
        <f t="shared" si="16"/>
        <v>0</v>
      </c>
      <c r="E93" s="80">
        <f t="shared" si="16"/>
        <v>0</v>
      </c>
      <c r="F93" s="80">
        <f t="shared" si="16"/>
        <v>0</v>
      </c>
      <c r="G93" s="80">
        <f t="shared" si="16"/>
        <v>0</v>
      </c>
    </row>
    <row r="94" spans="1:7" x14ac:dyDescent="0.25">
      <c r="A94" s="84" t="s">
        <v>295</v>
      </c>
      <c r="B94" s="156"/>
      <c r="C94" s="156"/>
      <c r="D94" s="156">
        <f t="shared" ref="D94:D102" si="17">B94+C94</f>
        <v>0</v>
      </c>
      <c r="E94" s="156"/>
      <c r="F94" s="156"/>
      <c r="G94" s="156">
        <f t="shared" ref="G94:G102" si="18">D94-E94</f>
        <v>0</v>
      </c>
    </row>
    <row r="95" spans="1:7" x14ac:dyDescent="0.25">
      <c r="A95" s="84" t="s">
        <v>296</v>
      </c>
      <c r="B95" s="156"/>
      <c r="C95" s="156"/>
      <c r="D95" s="156">
        <f t="shared" si="17"/>
        <v>0</v>
      </c>
      <c r="E95" s="156"/>
      <c r="F95" s="156"/>
      <c r="G95" s="156">
        <f t="shared" si="18"/>
        <v>0</v>
      </c>
    </row>
    <row r="96" spans="1:7" x14ac:dyDescent="0.25">
      <c r="A96" s="84" t="s">
        <v>297</v>
      </c>
      <c r="B96" s="156"/>
      <c r="C96" s="156"/>
      <c r="D96" s="156">
        <f t="shared" si="17"/>
        <v>0</v>
      </c>
      <c r="E96" s="156"/>
      <c r="F96" s="156"/>
      <c r="G96" s="156">
        <f t="shared" si="18"/>
        <v>0</v>
      </c>
    </row>
    <row r="97" spans="1:7" x14ac:dyDescent="0.25">
      <c r="A97" s="84" t="s">
        <v>298</v>
      </c>
      <c r="B97" s="156"/>
      <c r="C97" s="156"/>
      <c r="D97" s="156">
        <f t="shared" si="17"/>
        <v>0</v>
      </c>
      <c r="E97" s="156"/>
      <c r="F97" s="156"/>
      <c r="G97" s="156">
        <f t="shared" si="18"/>
        <v>0</v>
      </c>
    </row>
    <row r="98" spans="1:7" x14ac:dyDescent="0.25">
      <c r="A98" s="42" t="s">
        <v>299</v>
      </c>
      <c r="B98" s="156"/>
      <c r="C98" s="156"/>
      <c r="D98" s="156">
        <f t="shared" si="17"/>
        <v>0</v>
      </c>
      <c r="E98" s="156"/>
      <c r="F98" s="156"/>
      <c r="G98" s="156">
        <f t="shared" si="18"/>
        <v>0</v>
      </c>
    </row>
    <row r="99" spans="1:7" x14ac:dyDescent="0.25">
      <c r="A99" s="84" t="s">
        <v>300</v>
      </c>
      <c r="B99" s="156"/>
      <c r="C99" s="156"/>
      <c r="D99" s="156">
        <f t="shared" si="17"/>
        <v>0</v>
      </c>
      <c r="E99" s="156"/>
      <c r="F99" s="156"/>
      <c r="G99" s="156">
        <f t="shared" si="18"/>
        <v>0</v>
      </c>
    </row>
    <row r="100" spans="1:7" x14ac:dyDescent="0.25">
      <c r="A100" s="84" t="s">
        <v>301</v>
      </c>
      <c r="B100" s="156"/>
      <c r="C100" s="156"/>
      <c r="D100" s="156">
        <f t="shared" si="17"/>
        <v>0</v>
      </c>
      <c r="E100" s="156"/>
      <c r="F100" s="156"/>
      <c r="G100" s="156">
        <f t="shared" si="18"/>
        <v>0</v>
      </c>
    </row>
    <row r="101" spans="1:7" x14ac:dyDescent="0.25">
      <c r="A101" s="84" t="s">
        <v>302</v>
      </c>
      <c r="B101" s="156"/>
      <c r="C101" s="156"/>
      <c r="D101" s="156">
        <f t="shared" si="17"/>
        <v>0</v>
      </c>
      <c r="E101" s="156"/>
      <c r="F101" s="156"/>
      <c r="G101" s="156">
        <f t="shared" si="18"/>
        <v>0</v>
      </c>
    </row>
    <row r="102" spans="1:7" x14ac:dyDescent="0.25">
      <c r="A102" s="84" t="s">
        <v>303</v>
      </c>
      <c r="B102" s="156"/>
      <c r="C102" s="156"/>
      <c r="D102" s="156">
        <f t="shared" si="17"/>
        <v>0</v>
      </c>
      <c r="E102" s="156"/>
      <c r="F102" s="156"/>
      <c r="G102" s="156">
        <f t="shared" si="18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19">SUM(D104:D112)</f>
        <v>0</v>
      </c>
      <c r="E103" s="80">
        <f t="shared" si="19"/>
        <v>0</v>
      </c>
      <c r="F103" s="80">
        <f t="shared" si="19"/>
        <v>0</v>
      </c>
      <c r="G103" s="80">
        <f t="shared" si="19"/>
        <v>0</v>
      </c>
    </row>
    <row r="104" spans="1:7" x14ac:dyDescent="0.25">
      <c r="A104" s="84" t="s">
        <v>305</v>
      </c>
      <c r="B104" s="156"/>
      <c r="C104" s="156"/>
      <c r="D104" s="156">
        <f t="shared" ref="D104:D112" si="20">B104+C104</f>
        <v>0</v>
      </c>
      <c r="E104" s="156"/>
      <c r="F104" s="156"/>
      <c r="G104" s="156">
        <f t="shared" ref="G104:G112" si="21">D104-E104</f>
        <v>0</v>
      </c>
    </row>
    <row r="105" spans="1:7" x14ac:dyDescent="0.25">
      <c r="A105" s="84" t="s">
        <v>306</v>
      </c>
      <c r="B105" s="156"/>
      <c r="C105" s="156"/>
      <c r="D105" s="156">
        <f t="shared" si="20"/>
        <v>0</v>
      </c>
      <c r="E105" s="156"/>
      <c r="F105" s="156"/>
      <c r="G105" s="156">
        <f t="shared" si="21"/>
        <v>0</v>
      </c>
    </row>
    <row r="106" spans="1:7" x14ac:dyDescent="0.25">
      <c r="A106" s="84" t="s">
        <v>307</v>
      </c>
      <c r="B106" s="156"/>
      <c r="C106" s="156"/>
      <c r="D106" s="156">
        <f t="shared" si="20"/>
        <v>0</v>
      </c>
      <c r="E106" s="156"/>
      <c r="F106" s="156"/>
      <c r="G106" s="156">
        <f t="shared" si="21"/>
        <v>0</v>
      </c>
    </row>
    <row r="107" spans="1:7" x14ac:dyDescent="0.25">
      <c r="A107" s="84" t="s">
        <v>308</v>
      </c>
      <c r="B107" s="156"/>
      <c r="C107" s="156"/>
      <c r="D107" s="156">
        <f t="shared" si="20"/>
        <v>0</v>
      </c>
      <c r="E107" s="156"/>
      <c r="F107" s="156"/>
      <c r="G107" s="156">
        <f t="shared" si="21"/>
        <v>0</v>
      </c>
    </row>
    <row r="108" spans="1:7" x14ac:dyDescent="0.25">
      <c r="A108" s="84" t="s">
        <v>309</v>
      </c>
      <c r="B108" s="156"/>
      <c r="C108" s="156"/>
      <c r="D108" s="156">
        <f t="shared" si="20"/>
        <v>0</v>
      </c>
      <c r="E108" s="156"/>
      <c r="F108" s="156"/>
      <c r="G108" s="156">
        <f t="shared" si="21"/>
        <v>0</v>
      </c>
    </row>
    <row r="109" spans="1:7" x14ac:dyDescent="0.25">
      <c r="A109" s="84" t="s">
        <v>310</v>
      </c>
      <c r="B109" s="156"/>
      <c r="C109" s="156"/>
      <c r="D109" s="156">
        <f t="shared" si="20"/>
        <v>0</v>
      </c>
      <c r="E109" s="156"/>
      <c r="F109" s="156"/>
      <c r="G109" s="156">
        <f t="shared" si="21"/>
        <v>0</v>
      </c>
    </row>
    <row r="110" spans="1:7" x14ac:dyDescent="0.25">
      <c r="A110" s="84" t="s">
        <v>311</v>
      </c>
      <c r="B110" s="156"/>
      <c r="C110" s="156"/>
      <c r="D110" s="156">
        <f t="shared" si="20"/>
        <v>0</v>
      </c>
      <c r="E110" s="156"/>
      <c r="F110" s="156"/>
      <c r="G110" s="156">
        <f t="shared" si="21"/>
        <v>0</v>
      </c>
    </row>
    <row r="111" spans="1:7" x14ac:dyDescent="0.25">
      <c r="A111" s="84" t="s">
        <v>312</v>
      </c>
      <c r="B111" s="156"/>
      <c r="C111" s="156"/>
      <c r="D111" s="156">
        <f t="shared" si="20"/>
        <v>0</v>
      </c>
      <c r="E111" s="156"/>
      <c r="F111" s="156"/>
      <c r="G111" s="156">
        <f t="shared" si="21"/>
        <v>0</v>
      </c>
    </row>
    <row r="112" spans="1:7" x14ac:dyDescent="0.25">
      <c r="A112" s="84" t="s">
        <v>313</v>
      </c>
      <c r="B112" s="156"/>
      <c r="C112" s="156"/>
      <c r="D112" s="156">
        <f t="shared" si="20"/>
        <v>0</v>
      </c>
      <c r="E112" s="156"/>
      <c r="F112" s="156"/>
      <c r="G112" s="156">
        <f t="shared" si="21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2">SUM(C114:C122)</f>
        <v>0</v>
      </c>
      <c r="D113" s="80">
        <f t="shared" si="22"/>
        <v>0</v>
      </c>
      <c r="E113" s="80">
        <f t="shared" si="22"/>
        <v>0</v>
      </c>
      <c r="F113" s="80">
        <f t="shared" si="22"/>
        <v>0</v>
      </c>
      <c r="G113" s="80">
        <f t="shared" si="22"/>
        <v>0</v>
      </c>
    </row>
    <row r="114" spans="1:7" x14ac:dyDescent="0.25">
      <c r="A114" s="84" t="s">
        <v>315</v>
      </c>
      <c r="B114" s="156"/>
      <c r="C114" s="156"/>
      <c r="D114" s="156">
        <f t="shared" ref="D114:D122" si="23">B114+C114</f>
        <v>0</v>
      </c>
      <c r="E114" s="156"/>
      <c r="F114" s="156"/>
      <c r="G114" s="156">
        <f t="shared" ref="G114:G122" si="24">D114-E114</f>
        <v>0</v>
      </c>
    </row>
    <row r="115" spans="1:7" x14ac:dyDescent="0.25">
      <c r="A115" s="84" t="s">
        <v>316</v>
      </c>
      <c r="B115" s="156"/>
      <c r="C115" s="156"/>
      <c r="D115" s="156">
        <f t="shared" si="23"/>
        <v>0</v>
      </c>
      <c r="E115" s="156"/>
      <c r="F115" s="156"/>
      <c r="G115" s="156">
        <f t="shared" si="24"/>
        <v>0</v>
      </c>
    </row>
    <row r="116" spans="1:7" x14ac:dyDescent="0.25">
      <c r="A116" s="84" t="s">
        <v>317</v>
      </c>
      <c r="B116" s="156"/>
      <c r="C116" s="156"/>
      <c r="D116" s="156">
        <f t="shared" si="23"/>
        <v>0</v>
      </c>
      <c r="E116" s="156"/>
      <c r="F116" s="156"/>
      <c r="G116" s="156">
        <f t="shared" si="24"/>
        <v>0</v>
      </c>
    </row>
    <row r="117" spans="1:7" x14ac:dyDescent="0.25">
      <c r="A117" s="84" t="s">
        <v>318</v>
      </c>
      <c r="B117" s="156"/>
      <c r="C117" s="156"/>
      <c r="D117" s="156">
        <f t="shared" si="23"/>
        <v>0</v>
      </c>
      <c r="E117" s="156"/>
      <c r="F117" s="156"/>
      <c r="G117" s="156">
        <f t="shared" si="24"/>
        <v>0</v>
      </c>
    </row>
    <row r="118" spans="1:7" x14ac:dyDescent="0.25">
      <c r="A118" s="84" t="s">
        <v>319</v>
      </c>
      <c r="B118" s="156"/>
      <c r="C118" s="156"/>
      <c r="D118" s="156">
        <f t="shared" si="23"/>
        <v>0</v>
      </c>
      <c r="E118" s="156"/>
      <c r="F118" s="156"/>
      <c r="G118" s="156">
        <f t="shared" si="24"/>
        <v>0</v>
      </c>
    </row>
    <row r="119" spans="1:7" x14ac:dyDescent="0.25">
      <c r="A119" s="84" t="s">
        <v>320</v>
      </c>
      <c r="B119" s="156"/>
      <c r="C119" s="156"/>
      <c r="D119" s="156">
        <f t="shared" si="23"/>
        <v>0</v>
      </c>
      <c r="E119" s="156"/>
      <c r="F119" s="156"/>
      <c r="G119" s="156">
        <f t="shared" si="24"/>
        <v>0</v>
      </c>
    </row>
    <row r="120" spans="1:7" x14ac:dyDescent="0.25">
      <c r="A120" s="84" t="s">
        <v>321</v>
      </c>
      <c r="B120" s="156"/>
      <c r="C120" s="156"/>
      <c r="D120" s="156">
        <f t="shared" si="23"/>
        <v>0</v>
      </c>
      <c r="E120" s="156"/>
      <c r="F120" s="156"/>
      <c r="G120" s="156">
        <f t="shared" si="24"/>
        <v>0</v>
      </c>
    </row>
    <row r="121" spans="1:7" x14ac:dyDescent="0.25">
      <c r="A121" s="84" t="s">
        <v>322</v>
      </c>
      <c r="B121" s="156"/>
      <c r="C121" s="156"/>
      <c r="D121" s="156">
        <f t="shared" si="23"/>
        <v>0</v>
      </c>
      <c r="E121" s="156"/>
      <c r="F121" s="156"/>
      <c r="G121" s="156">
        <f t="shared" si="24"/>
        <v>0</v>
      </c>
    </row>
    <row r="122" spans="1:7" x14ac:dyDescent="0.25">
      <c r="A122" s="84" t="s">
        <v>323</v>
      </c>
      <c r="B122" s="156"/>
      <c r="C122" s="156"/>
      <c r="D122" s="156">
        <f t="shared" si="23"/>
        <v>0</v>
      </c>
      <c r="E122" s="156"/>
      <c r="F122" s="156"/>
      <c r="G122" s="156">
        <f t="shared" si="24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5">SUM(C124:C132)</f>
        <v>0</v>
      </c>
      <c r="D123" s="80">
        <f t="shared" si="25"/>
        <v>0</v>
      </c>
      <c r="E123" s="80">
        <f t="shared" si="25"/>
        <v>0</v>
      </c>
      <c r="F123" s="80">
        <f t="shared" si="25"/>
        <v>0</v>
      </c>
      <c r="G123" s="80">
        <f t="shared" si="25"/>
        <v>0</v>
      </c>
    </row>
    <row r="124" spans="1:7" x14ac:dyDescent="0.25">
      <c r="A124" s="84" t="s">
        <v>325</v>
      </c>
      <c r="B124" s="156"/>
      <c r="C124" s="156"/>
      <c r="D124" s="156">
        <f t="shared" ref="D124:D132" si="26">B124+C124</f>
        <v>0</v>
      </c>
      <c r="E124" s="156"/>
      <c r="F124" s="156"/>
      <c r="G124" s="156">
        <f t="shared" ref="G124:G132" si="27">D124-E124</f>
        <v>0</v>
      </c>
    </row>
    <row r="125" spans="1:7" x14ac:dyDescent="0.25">
      <c r="A125" s="84" t="s">
        <v>326</v>
      </c>
      <c r="B125" s="156"/>
      <c r="C125" s="156"/>
      <c r="D125" s="156">
        <f t="shared" si="26"/>
        <v>0</v>
      </c>
      <c r="E125" s="156"/>
      <c r="F125" s="156"/>
      <c r="G125" s="156">
        <f t="shared" si="27"/>
        <v>0</v>
      </c>
    </row>
    <row r="126" spans="1:7" x14ac:dyDescent="0.25">
      <c r="A126" s="84" t="s">
        <v>327</v>
      </c>
      <c r="B126" s="156"/>
      <c r="C126" s="156"/>
      <c r="D126" s="156">
        <f t="shared" si="26"/>
        <v>0</v>
      </c>
      <c r="E126" s="156"/>
      <c r="F126" s="156"/>
      <c r="G126" s="156">
        <f t="shared" si="27"/>
        <v>0</v>
      </c>
    </row>
    <row r="127" spans="1:7" x14ac:dyDescent="0.25">
      <c r="A127" s="84" t="s">
        <v>328</v>
      </c>
      <c r="B127" s="156"/>
      <c r="C127" s="156"/>
      <c r="D127" s="156">
        <f t="shared" si="26"/>
        <v>0</v>
      </c>
      <c r="E127" s="156"/>
      <c r="F127" s="156"/>
      <c r="G127" s="156">
        <f t="shared" si="27"/>
        <v>0</v>
      </c>
    </row>
    <row r="128" spans="1:7" x14ac:dyDescent="0.25">
      <c r="A128" s="84" t="s">
        <v>329</v>
      </c>
      <c r="B128" s="156"/>
      <c r="C128" s="156"/>
      <c r="D128" s="156">
        <f t="shared" si="26"/>
        <v>0</v>
      </c>
      <c r="E128" s="156"/>
      <c r="F128" s="156"/>
      <c r="G128" s="156">
        <f t="shared" si="27"/>
        <v>0</v>
      </c>
    </row>
    <row r="129" spans="1:7" x14ac:dyDescent="0.25">
      <c r="A129" s="84" t="s">
        <v>330</v>
      </c>
      <c r="B129" s="156"/>
      <c r="C129" s="156"/>
      <c r="D129" s="156">
        <f t="shared" si="26"/>
        <v>0</v>
      </c>
      <c r="E129" s="156"/>
      <c r="F129" s="156"/>
      <c r="G129" s="156">
        <f t="shared" si="27"/>
        <v>0</v>
      </c>
    </row>
    <row r="130" spans="1:7" x14ac:dyDescent="0.25">
      <c r="A130" s="84" t="s">
        <v>331</v>
      </c>
      <c r="B130" s="156"/>
      <c r="C130" s="156"/>
      <c r="D130" s="156">
        <f t="shared" si="26"/>
        <v>0</v>
      </c>
      <c r="E130" s="156"/>
      <c r="F130" s="156"/>
      <c r="G130" s="156">
        <f t="shared" si="27"/>
        <v>0</v>
      </c>
    </row>
    <row r="131" spans="1:7" x14ac:dyDescent="0.25">
      <c r="A131" s="84" t="s">
        <v>332</v>
      </c>
      <c r="B131" s="156"/>
      <c r="C131" s="156"/>
      <c r="D131" s="156">
        <f t="shared" si="26"/>
        <v>0</v>
      </c>
      <c r="E131" s="156"/>
      <c r="F131" s="156"/>
      <c r="G131" s="156">
        <f t="shared" si="27"/>
        <v>0</v>
      </c>
    </row>
    <row r="132" spans="1:7" x14ac:dyDescent="0.25">
      <c r="A132" s="84" t="s">
        <v>333</v>
      </c>
      <c r="B132" s="156"/>
      <c r="C132" s="156"/>
      <c r="D132" s="156">
        <f t="shared" si="26"/>
        <v>0</v>
      </c>
      <c r="E132" s="156"/>
      <c r="F132" s="156"/>
      <c r="G132" s="156">
        <f t="shared" si="27"/>
        <v>0</v>
      </c>
    </row>
    <row r="133" spans="1:7" x14ac:dyDescent="0.25">
      <c r="A133" s="83" t="s">
        <v>334</v>
      </c>
      <c r="B133" s="80">
        <f>SUM(B134:B136)</f>
        <v>12020833</v>
      </c>
      <c r="C133" s="156">
        <f t="shared" ref="C133:G133" si="28">SUM(C134:C136)</f>
        <v>2000000</v>
      </c>
      <c r="D133" s="80">
        <f t="shared" si="28"/>
        <v>14020833</v>
      </c>
      <c r="E133" s="80">
        <f t="shared" si="28"/>
        <v>1998938.3</v>
      </c>
      <c r="F133" s="80">
        <f t="shared" si="28"/>
        <v>0</v>
      </c>
      <c r="G133" s="80">
        <f t="shared" si="28"/>
        <v>12021894.699999999</v>
      </c>
    </row>
    <row r="134" spans="1:7" x14ac:dyDescent="0.25">
      <c r="A134" s="84" t="s">
        <v>335</v>
      </c>
      <c r="B134" s="155">
        <v>12020833</v>
      </c>
      <c r="C134" s="155" t="s">
        <v>3303</v>
      </c>
      <c r="D134" s="156">
        <v>12020833</v>
      </c>
      <c r="E134" s="155" t="s">
        <v>3303</v>
      </c>
      <c r="F134" s="155" t="s">
        <v>3303</v>
      </c>
      <c r="G134" s="156">
        <v>12020833</v>
      </c>
    </row>
    <row r="135" spans="1:7" x14ac:dyDescent="0.25">
      <c r="A135" s="84" t="s">
        <v>336</v>
      </c>
      <c r="B135" s="156" t="s">
        <v>3303</v>
      </c>
      <c r="C135" s="156">
        <v>2000000</v>
      </c>
      <c r="D135" s="156">
        <v>2000000</v>
      </c>
      <c r="E135" s="156">
        <v>1998938.3</v>
      </c>
      <c r="F135" s="156" t="s">
        <v>3303</v>
      </c>
      <c r="G135" s="156">
        <v>1061.7</v>
      </c>
    </row>
    <row r="136" spans="1:7" x14ac:dyDescent="0.25">
      <c r="A136" s="84" t="s">
        <v>337</v>
      </c>
      <c r="B136" s="156"/>
      <c r="C136" s="156"/>
      <c r="D136" s="156">
        <f t="shared" ref="D136" si="29">B136+C136</f>
        <v>0</v>
      </c>
      <c r="E136" s="156"/>
      <c r="F136" s="156"/>
      <c r="G136" s="156">
        <f t="shared" ref="G136" si="30">D136-E136</f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1">SUM(C138:C142,C144:C145)</f>
        <v>0</v>
      </c>
      <c r="D137" s="80">
        <f t="shared" si="31"/>
        <v>0</v>
      </c>
      <c r="E137" s="80">
        <f t="shared" si="31"/>
        <v>0</v>
      </c>
      <c r="F137" s="80">
        <f t="shared" si="31"/>
        <v>0</v>
      </c>
      <c r="G137" s="80">
        <f t="shared" si="31"/>
        <v>0</v>
      </c>
    </row>
    <row r="138" spans="1:7" x14ac:dyDescent="0.25">
      <c r="A138" s="84" t="s">
        <v>339</v>
      </c>
      <c r="B138" s="156"/>
      <c r="C138" s="156"/>
      <c r="D138" s="156">
        <f t="shared" ref="D138:D145" si="32">B138+C138</f>
        <v>0</v>
      </c>
      <c r="E138" s="156"/>
      <c r="F138" s="156"/>
      <c r="G138" s="156">
        <f t="shared" ref="G138:G145" si="33">D138-E138</f>
        <v>0</v>
      </c>
    </row>
    <row r="139" spans="1:7" x14ac:dyDescent="0.25">
      <c r="A139" s="84" t="s">
        <v>340</v>
      </c>
      <c r="B139" s="156"/>
      <c r="C139" s="156"/>
      <c r="D139" s="156">
        <f t="shared" si="32"/>
        <v>0</v>
      </c>
      <c r="E139" s="156"/>
      <c r="F139" s="156"/>
      <c r="G139" s="156">
        <f t="shared" si="33"/>
        <v>0</v>
      </c>
    </row>
    <row r="140" spans="1:7" x14ac:dyDescent="0.25">
      <c r="A140" s="84" t="s">
        <v>341</v>
      </c>
      <c r="B140" s="156"/>
      <c r="C140" s="156"/>
      <c r="D140" s="156">
        <f t="shared" si="32"/>
        <v>0</v>
      </c>
      <c r="E140" s="156"/>
      <c r="F140" s="156"/>
      <c r="G140" s="156">
        <f t="shared" si="33"/>
        <v>0</v>
      </c>
    </row>
    <row r="141" spans="1:7" x14ac:dyDescent="0.25">
      <c r="A141" s="84" t="s">
        <v>342</v>
      </c>
      <c r="B141" s="156"/>
      <c r="C141" s="156"/>
      <c r="D141" s="156">
        <f t="shared" si="32"/>
        <v>0</v>
      </c>
      <c r="E141" s="156"/>
      <c r="F141" s="156"/>
      <c r="G141" s="156">
        <f t="shared" si="33"/>
        <v>0</v>
      </c>
    </row>
    <row r="142" spans="1:7" x14ac:dyDescent="0.25">
      <c r="A142" s="84" t="s">
        <v>343</v>
      </c>
      <c r="B142" s="156"/>
      <c r="C142" s="156"/>
      <c r="D142" s="156">
        <f t="shared" si="32"/>
        <v>0</v>
      </c>
      <c r="E142" s="156"/>
      <c r="F142" s="156"/>
      <c r="G142" s="156">
        <f t="shared" si="33"/>
        <v>0</v>
      </c>
    </row>
    <row r="143" spans="1:7" x14ac:dyDescent="0.25">
      <c r="A143" s="84" t="s">
        <v>3301</v>
      </c>
      <c r="B143" s="156"/>
      <c r="C143" s="156"/>
      <c r="D143" s="156">
        <f t="shared" si="32"/>
        <v>0</v>
      </c>
      <c r="E143" s="156"/>
      <c r="F143" s="156"/>
      <c r="G143" s="156">
        <f t="shared" si="33"/>
        <v>0</v>
      </c>
    </row>
    <row r="144" spans="1:7" x14ac:dyDescent="0.25">
      <c r="A144" s="84" t="s">
        <v>345</v>
      </c>
      <c r="B144" s="156"/>
      <c r="C144" s="156"/>
      <c r="D144" s="156">
        <f t="shared" si="32"/>
        <v>0</v>
      </c>
      <c r="E144" s="156"/>
      <c r="F144" s="156"/>
      <c r="G144" s="156">
        <f t="shared" si="33"/>
        <v>0</v>
      </c>
    </row>
    <row r="145" spans="1:7" x14ac:dyDescent="0.25">
      <c r="A145" s="84" t="s">
        <v>346</v>
      </c>
      <c r="B145" s="156"/>
      <c r="C145" s="156"/>
      <c r="D145" s="156">
        <f t="shared" si="32"/>
        <v>0</v>
      </c>
      <c r="E145" s="156"/>
      <c r="F145" s="156"/>
      <c r="G145" s="156">
        <f t="shared" si="33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4">SUM(C147:C149)</f>
        <v>0</v>
      </c>
      <c r="D146" s="80">
        <f t="shared" si="34"/>
        <v>0</v>
      </c>
      <c r="E146" s="80">
        <f t="shared" si="34"/>
        <v>0</v>
      </c>
      <c r="F146" s="80">
        <f t="shared" si="34"/>
        <v>0</v>
      </c>
      <c r="G146" s="80">
        <f t="shared" si="34"/>
        <v>0</v>
      </c>
    </row>
    <row r="147" spans="1:7" x14ac:dyDescent="0.25">
      <c r="A147" s="84" t="s">
        <v>348</v>
      </c>
      <c r="B147" s="156"/>
      <c r="C147" s="156"/>
      <c r="D147" s="156">
        <f t="shared" ref="D147:D149" si="35">B147+C147</f>
        <v>0</v>
      </c>
      <c r="E147" s="156"/>
      <c r="F147" s="156"/>
      <c r="G147" s="156">
        <f t="shared" ref="G147:G149" si="36">D147-E147</f>
        <v>0</v>
      </c>
    </row>
    <row r="148" spans="1:7" x14ac:dyDescent="0.25">
      <c r="A148" s="84" t="s">
        <v>349</v>
      </c>
      <c r="B148" s="156"/>
      <c r="C148" s="156"/>
      <c r="D148" s="156">
        <f t="shared" si="35"/>
        <v>0</v>
      </c>
      <c r="E148" s="156"/>
      <c r="F148" s="156"/>
      <c r="G148" s="156">
        <f t="shared" si="36"/>
        <v>0</v>
      </c>
    </row>
    <row r="149" spans="1:7" x14ac:dyDescent="0.25">
      <c r="A149" s="84" t="s">
        <v>350</v>
      </c>
      <c r="B149" s="156"/>
      <c r="C149" s="156"/>
      <c r="D149" s="156">
        <f t="shared" si="35"/>
        <v>0</v>
      </c>
      <c r="E149" s="156"/>
      <c r="F149" s="156"/>
      <c r="G149" s="156">
        <f t="shared" si="36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7">SUM(C151:C157)</f>
        <v>0</v>
      </c>
      <c r="D150" s="80">
        <f t="shared" si="37"/>
        <v>0</v>
      </c>
      <c r="E150" s="80">
        <f t="shared" si="37"/>
        <v>0</v>
      </c>
      <c r="F150" s="80">
        <f t="shared" si="37"/>
        <v>0</v>
      </c>
      <c r="G150" s="80">
        <f t="shared" si="37"/>
        <v>0</v>
      </c>
    </row>
    <row r="151" spans="1:7" x14ac:dyDescent="0.25">
      <c r="A151" s="84" t="s">
        <v>352</v>
      </c>
      <c r="B151" s="156"/>
      <c r="C151" s="156"/>
      <c r="D151" s="156">
        <f t="shared" ref="D151:D157" si="38">B151+C151</f>
        <v>0</v>
      </c>
      <c r="E151" s="156"/>
      <c r="F151" s="156"/>
      <c r="G151" s="156">
        <f t="shared" ref="G151:G157" si="39">D151-E151</f>
        <v>0</v>
      </c>
    </row>
    <row r="152" spans="1:7" x14ac:dyDescent="0.25">
      <c r="A152" s="84" t="s">
        <v>353</v>
      </c>
      <c r="B152" s="156"/>
      <c r="C152" s="156"/>
      <c r="D152" s="156">
        <f t="shared" si="38"/>
        <v>0</v>
      </c>
      <c r="E152" s="156"/>
      <c r="F152" s="156"/>
      <c r="G152" s="156">
        <f t="shared" si="39"/>
        <v>0</v>
      </c>
    </row>
    <row r="153" spans="1:7" x14ac:dyDescent="0.25">
      <c r="A153" s="84" t="s">
        <v>354</v>
      </c>
      <c r="B153" s="156"/>
      <c r="C153" s="156"/>
      <c r="D153" s="156">
        <f t="shared" si="38"/>
        <v>0</v>
      </c>
      <c r="E153" s="156"/>
      <c r="F153" s="156"/>
      <c r="G153" s="156">
        <f t="shared" si="39"/>
        <v>0</v>
      </c>
    </row>
    <row r="154" spans="1:7" x14ac:dyDescent="0.25">
      <c r="A154" s="42" t="s">
        <v>355</v>
      </c>
      <c r="B154" s="156"/>
      <c r="C154" s="156"/>
      <c r="D154" s="156">
        <f t="shared" si="38"/>
        <v>0</v>
      </c>
      <c r="E154" s="156"/>
      <c r="F154" s="156"/>
      <c r="G154" s="156">
        <f t="shared" si="39"/>
        <v>0</v>
      </c>
    </row>
    <row r="155" spans="1:7" x14ac:dyDescent="0.25">
      <c r="A155" s="84" t="s">
        <v>356</v>
      </c>
      <c r="B155" s="156"/>
      <c r="C155" s="156"/>
      <c r="D155" s="156">
        <f t="shared" si="38"/>
        <v>0</v>
      </c>
      <c r="E155" s="156"/>
      <c r="F155" s="156"/>
      <c r="G155" s="156">
        <f t="shared" si="39"/>
        <v>0</v>
      </c>
    </row>
    <row r="156" spans="1:7" x14ac:dyDescent="0.25">
      <c r="A156" s="84" t="s">
        <v>357</v>
      </c>
      <c r="B156" s="156"/>
      <c r="C156" s="156"/>
      <c r="D156" s="156">
        <f t="shared" si="38"/>
        <v>0</v>
      </c>
      <c r="E156" s="156"/>
      <c r="F156" s="156"/>
      <c r="G156" s="156">
        <f t="shared" si="39"/>
        <v>0</v>
      </c>
    </row>
    <row r="157" spans="1:7" x14ac:dyDescent="0.25">
      <c r="A157" s="84" t="s">
        <v>358</v>
      </c>
      <c r="B157" s="156"/>
      <c r="C157" s="156"/>
      <c r="D157" s="156">
        <f t="shared" si="38"/>
        <v>0</v>
      </c>
      <c r="E157" s="156"/>
      <c r="F157" s="156"/>
      <c r="G157" s="156">
        <f t="shared" si="39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17638121.23</v>
      </c>
      <c r="C159" s="79">
        <f t="shared" ref="C159:G159" si="40">C9+C84</f>
        <v>6072374</v>
      </c>
      <c r="D159" s="79">
        <f t="shared" si="40"/>
        <v>23710495.23</v>
      </c>
      <c r="E159" s="79">
        <f t="shared" si="40"/>
        <v>10393695.6</v>
      </c>
      <c r="F159" s="79">
        <f t="shared" si="40"/>
        <v>5947038.1399999997</v>
      </c>
      <c r="G159" s="79">
        <f t="shared" si="40"/>
        <v>13316799.629999999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4388232.4000000004</v>
      </c>
      <c r="Q2" s="18">
        <f>'Formato 6 a)'!C9</f>
        <v>4072374</v>
      </c>
      <c r="R2" s="18">
        <f>'Formato 6 a)'!D9</f>
        <v>8460606.4000000004</v>
      </c>
      <c r="S2" s="18">
        <f>'Formato 6 a)'!E9</f>
        <v>7165701.4699999997</v>
      </c>
      <c r="T2" s="18">
        <f>'Formato 6 a)'!F9</f>
        <v>4717982.3099999996</v>
      </c>
      <c r="U2" s="18">
        <f>'Formato 6 a)'!G9</f>
        <v>1294904.9300000002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2633952.5699999998</v>
      </c>
      <c r="Q3" s="18">
        <f>'Formato 6 a)'!C10</f>
        <v>482714.15</v>
      </c>
      <c r="R3" s="18">
        <f>'Formato 6 a)'!D10</f>
        <v>3116666.72</v>
      </c>
      <c r="S3" s="18">
        <f>'Formato 6 a)'!E10</f>
        <v>3058397.89</v>
      </c>
      <c r="T3" s="18">
        <f>'Formato 6 a)'!F10</f>
        <v>2941500.94</v>
      </c>
      <c r="U3" s="18">
        <f>'Formato 6 a)'!G10</f>
        <v>58268.83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1344344.17</v>
      </c>
      <c r="Q4" s="18">
        <f>'Formato 6 a)'!C11</f>
        <v>278079.21000000002</v>
      </c>
      <c r="R4" s="18">
        <f>'Formato 6 a)'!D11</f>
        <v>1622423.38</v>
      </c>
      <c r="S4" s="18">
        <f>'Formato 6 a)'!E11</f>
        <v>1586625.55</v>
      </c>
      <c r="T4" s="18">
        <f>'Formato 6 a)'!F11</f>
        <v>1586625.55</v>
      </c>
      <c r="U4" s="18">
        <f>'Formato 6 a)'!G11</f>
        <v>35797.83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310050.2</v>
      </c>
      <c r="Q5" s="18">
        <f>'Formato 6 a)'!C12</f>
        <v>138991.15</v>
      </c>
      <c r="R5" s="18">
        <f>'Formato 6 a)'!D12</f>
        <v>449041.35</v>
      </c>
      <c r="S5" s="18">
        <f>'Formato 6 a)'!E12</f>
        <v>439616.33</v>
      </c>
      <c r="T5" s="18">
        <f>'Formato 6 a)'!F12</f>
        <v>322719.38</v>
      </c>
      <c r="U5" s="18">
        <f>'Formato 6 a)'!G12</f>
        <v>9425.02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367295</v>
      </c>
      <c r="Q6" s="18">
        <f>'Formato 6 a)'!C13</f>
        <v>36573.64</v>
      </c>
      <c r="R6" s="18">
        <f>'Formato 6 a)'!D13</f>
        <v>403868.64</v>
      </c>
      <c r="S6" s="18">
        <f>'Formato 6 a)'!E13</f>
        <v>403868.64</v>
      </c>
      <c r="T6" s="18">
        <f>'Formato 6 a)'!F13</f>
        <v>403868.64</v>
      </c>
      <c r="U6" s="18" t="str">
        <f>'Formato 6 a)'!G13</f>
        <v xml:space="preserve"> -   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277607.2</v>
      </c>
      <c r="Q7" s="18">
        <f>'Formato 6 a)'!C14</f>
        <v>60000</v>
      </c>
      <c r="R7" s="18">
        <f>'Formato 6 a)'!D14</f>
        <v>337607.2</v>
      </c>
      <c r="S7" s="18">
        <f>'Formato 6 a)'!E14</f>
        <v>324921.21999999997</v>
      </c>
      <c r="T7" s="18">
        <f>'Formato 6 a)'!F14</f>
        <v>324921.21999999997</v>
      </c>
      <c r="U7" s="18">
        <f>'Formato 6 a)'!G14</f>
        <v>12685.98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334656</v>
      </c>
      <c r="Q8" s="18">
        <f>'Formato 6 a)'!C15</f>
        <v>-30929.85</v>
      </c>
      <c r="R8" s="18">
        <f>'Formato 6 a)'!D15</f>
        <v>303726.15000000002</v>
      </c>
      <c r="S8" s="18">
        <f>'Formato 6 a)'!E15</f>
        <v>303366.15000000002</v>
      </c>
      <c r="T8" s="18">
        <f>'Formato 6 a)'!F15</f>
        <v>303366.15000000002</v>
      </c>
      <c r="U8" s="18">
        <f>'Formato 6 a)'!G15</f>
        <v>360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 t="str">
        <f>'Formato 6 a)'!D16</f>
        <v xml:space="preserve"> -   </v>
      </c>
      <c r="S9" s="18">
        <f>'Formato 6 a)'!E16</f>
        <v>0</v>
      </c>
      <c r="T9" s="18">
        <f>'Formato 6 a)'!F16</f>
        <v>0</v>
      </c>
      <c r="U9" s="18" t="str">
        <f>'Formato 6 a)'!G16</f>
        <v xml:space="preserve"> -   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 t="str">
        <f>'Formato 6 a)'!D17</f>
        <v xml:space="preserve"> -   </v>
      </c>
      <c r="S10" s="18">
        <f>'Formato 6 a)'!E17</f>
        <v>0</v>
      </c>
      <c r="T10" s="18">
        <f>'Formato 6 a)'!F17</f>
        <v>0</v>
      </c>
      <c r="U10" s="18" t="str">
        <f>'Formato 6 a)'!G17</f>
        <v xml:space="preserve"> -   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231224</v>
      </c>
      <c r="Q11" s="18">
        <f>'Formato 6 a)'!C18</f>
        <v>-15476.150000000001</v>
      </c>
      <c r="R11" s="18">
        <f>'Formato 6 a)'!D18</f>
        <v>215747.85</v>
      </c>
      <c r="S11" s="18">
        <f>'Formato 6 a)'!E18</f>
        <v>169455.15</v>
      </c>
      <c r="T11" s="18">
        <f>'Formato 6 a)'!F18</f>
        <v>169455.15</v>
      </c>
      <c r="U11" s="18">
        <f>'Formato 6 a)'!G18</f>
        <v>46292.7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40000</v>
      </c>
      <c r="Q12" s="18">
        <f>'Formato 6 a)'!C19</f>
        <v>26000</v>
      </c>
      <c r="R12" s="18">
        <f>'Formato 6 a)'!D19</f>
        <v>66000</v>
      </c>
      <c r="S12" s="18">
        <f>'Formato 6 a)'!E19</f>
        <v>52075.93</v>
      </c>
      <c r="T12" s="18">
        <f>'Formato 6 a)'!F19</f>
        <v>52075.93</v>
      </c>
      <c r="U12" s="18">
        <f>'Formato 6 a)'!G19</f>
        <v>13924.07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12224</v>
      </c>
      <c r="Q13" s="18">
        <f>'Formato 6 a)'!C20</f>
        <v>-10224</v>
      </c>
      <c r="R13" s="18">
        <f>'Formato 6 a)'!D20</f>
        <v>2000</v>
      </c>
      <c r="S13" s="18" t="str">
        <f>'Formato 6 a)'!E20</f>
        <v xml:space="preserve"> -   </v>
      </c>
      <c r="T13" s="18" t="str">
        <f>'Formato 6 a)'!F20</f>
        <v xml:space="preserve"> -   </v>
      </c>
      <c r="U13" s="18">
        <f>'Formato 6 a)'!G20</f>
        <v>2000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 t="str">
        <f>'Formato 6 a)'!D21</f>
        <v xml:space="preserve"> -   </v>
      </c>
      <c r="S14" s="18">
        <f>'Formato 6 a)'!E21</f>
        <v>0</v>
      </c>
      <c r="T14" s="18">
        <f>'Formato 6 a)'!F21</f>
        <v>0</v>
      </c>
      <c r="U14" s="18" t="str">
        <f>'Formato 6 a)'!G21</f>
        <v xml:space="preserve"> -   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38000</v>
      </c>
      <c r="Q15" s="18">
        <f>'Formato 6 a)'!C22</f>
        <v>-9252.15</v>
      </c>
      <c r="R15" s="18">
        <f>'Formato 6 a)'!D22</f>
        <v>28747.85</v>
      </c>
      <c r="S15" s="18">
        <f>'Formato 6 a)'!E22</f>
        <v>4549.4399999999996</v>
      </c>
      <c r="T15" s="18">
        <f>'Formato 6 a)'!F22</f>
        <v>4549.4399999999996</v>
      </c>
      <c r="U15" s="18">
        <f>'Formato 6 a)'!G22</f>
        <v>24198.41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 t="str">
        <f>'Formato 6 a)'!D23</f>
        <v xml:space="preserve"> -   </v>
      </c>
      <c r="S16" s="18">
        <f>'Formato 6 a)'!E23</f>
        <v>0</v>
      </c>
      <c r="T16" s="18">
        <f>'Formato 6 a)'!F23</f>
        <v>0</v>
      </c>
      <c r="U16" s="18" t="str">
        <f>'Formato 6 a)'!G23</f>
        <v xml:space="preserve"> -   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122000</v>
      </c>
      <c r="Q17" s="18">
        <f>'Formato 6 a)'!C24</f>
        <v>-35000</v>
      </c>
      <c r="R17" s="18">
        <f>'Formato 6 a)'!D24</f>
        <v>87000</v>
      </c>
      <c r="S17" s="18">
        <f>'Formato 6 a)'!E24</f>
        <v>86400</v>
      </c>
      <c r="T17" s="18">
        <f>'Formato 6 a)'!F24</f>
        <v>86400</v>
      </c>
      <c r="U17" s="18">
        <f>'Formato 6 a)'!G24</f>
        <v>600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10000</v>
      </c>
      <c r="Q18" s="18" t="str">
        <f>'Formato 6 a)'!C25</f>
        <v xml:space="preserve"> -   </v>
      </c>
      <c r="R18" s="18">
        <f>'Formato 6 a)'!D25</f>
        <v>10000</v>
      </c>
      <c r="S18" s="18">
        <f>'Formato 6 a)'!E25</f>
        <v>9918</v>
      </c>
      <c r="T18" s="18">
        <f>'Formato 6 a)'!F25</f>
        <v>9918</v>
      </c>
      <c r="U18" s="18">
        <f>'Formato 6 a)'!G25</f>
        <v>82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 t="str">
        <f>'Formato 6 a)'!D26</f>
        <v xml:space="preserve"> -   </v>
      </c>
      <c r="S19" s="18">
        <f>'Formato 6 a)'!E26</f>
        <v>0</v>
      </c>
      <c r="T19" s="18">
        <f>'Formato 6 a)'!F26</f>
        <v>0</v>
      </c>
      <c r="U19" s="18" t="str">
        <f>'Formato 6 a)'!G26</f>
        <v xml:space="preserve"> -   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9000</v>
      </c>
      <c r="Q20" s="18">
        <f>'Formato 6 a)'!C27</f>
        <v>13000</v>
      </c>
      <c r="R20" s="18">
        <f>'Formato 6 a)'!D27</f>
        <v>22000</v>
      </c>
      <c r="S20" s="18">
        <f>'Formato 6 a)'!E27</f>
        <v>16511.78</v>
      </c>
      <c r="T20" s="18">
        <f>'Formato 6 a)'!F27</f>
        <v>16511.78</v>
      </c>
      <c r="U20" s="18">
        <f>'Formato 6 a)'!G27</f>
        <v>5488.22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294000</v>
      </c>
      <c r="Q21" s="18">
        <f>'Formato 6 a)'!C28</f>
        <v>824638.52</v>
      </c>
      <c r="R21" s="18">
        <f>'Formato 6 a)'!D28</f>
        <v>1118638.52</v>
      </c>
      <c r="S21" s="18">
        <f>'Formato 6 a)'!E28</f>
        <v>1044058.3400000001</v>
      </c>
      <c r="T21" s="18">
        <f>'Formato 6 a)'!F28</f>
        <v>1010820.2000000001</v>
      </c>
      <c r="U21" s="18">
        <f>'Formato 6 a)'!G28</f>
        <v>74580.180000000008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42000</v>
      </c>
      <c r="Q22" s="18">
        <f>'Formato 6 a)'!C29</f>
        <v>500</v>
      </c>
      <c r="R22" s="18">
        <f>'Formato 6 a)'!D29</f>
        <v>42500</v>
      </c>
      <c r="S22" s="18">
        <f>'Formato 6 a)'!E29</f>
        <v>37309.919999999998</v>
      </c>
      <c r="T22" s="18">
        <f>'Formato 6 a)'!F29</f>
        <v>35524.92</v>
      </c>
      <c r="U22" s="18">
        <f>'Formato 6 a)'!G29</f>
        <v>5190.08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10000</v>
      </c>
      <c r="Q23" s="18" t="str">
        <f>'Formato 6 a)'!C30</f>
        <v xml:space="preserve"> -   </v>
      </c>
      <c r="R23" s="18">
        <f>'Formato 6 a)'!D30</f>
        <v>10000</v>
      </c>
      <c r="S23" s="18">
        <f>'Formato 6 a)'!E30</f>
        <v>5107.4799999999996</v>
      </c>
      <c r="T23" s="18">
        <f>'Formato 6 a)'!F30</f>
        <v>5107.4799999999996</v>
      </c>
      <c r="U23" s="18">
        <f>'Formato 6 a)'!G30</f>
        <v>4892.5200000000004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53000</v>
      </c>
      <c r="Q24" s="18">
        <f>'Formato 6 a)'!C31</f>
        <v>303860</v>
      </c>
      <c r="R24" s="18">
        <f>'Formato 6 a)'!D31</f>
        <v>356860</v>
      </c>
      <c r="S24" s="18">
        <f>'Formato 6 a)'!E31</f>
        <v>332340</v>
      </c>
      <c r="T24" s="18">
        <f>'Formato 6 a)'!F31</f>
        <v>332340</v>
      </c>
      <c r="U24" s="18">
        <f>'Formato 6 a)'!G31</f>
        <v>24520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25000</v>
      </c>
      <c r="Q25" s="18">
        <f>'Formato 6 a)'!C32</f>
        <v>49750</v>
      </c>
      <c r="R25" s="18">
        <f>'Formato 6 a)'!D32</f>
        <v>74750</v>
      </c>
      <c r="S25" s="18">
        <f>'Formato 6 a)'!E32</f>
        <v>65526.96</v>
      </c>
      <c r="T25" s="18">
        <f>'Formato 6 a)'!F32</f>
        <v>47995.82</v>
      </c>
      <c r="U25" s="18">
        <f>'Formato 6 a)'!G32</f>
        <v>9223.0400000000009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38000</v>
      </c>
      <c r="Q26" s="18">
        <f>'Formato 6 a)'!C33</f>
        <v>22944</v>
      </c>
      <c r="R26" s="18">
        <f>'Formato 6 a)'!D33</f>
        <v>60944</v>
      </c>
      <c r="S26" s="18">
        <f>'Formato 6 a)'!E33</f>
        <v>50541.2</v>
      </c>
      <c r="T26" s="18">
        <f>'Formato 6 a)'!F33</f>
        <v>50541.2</v>
      </c>
      <c r="U26" s="18">
        <f>'Formato 6 a)'!G33</f>
        <v>10402.799999999999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60000</v>
      </c>
      <c r="Q27" s="18">
        <f>'Formato 6 a)'!C34</f>
        <v>108000</v>
      </c>
      <c r="R27" s="18">
        <f>'Formato 6 a)'!D34</f>
        <v>168000</v>
      </c>
      <c r="S27" s="18">
        <f>'Formato 6 a)'!E34</f>
        <v>158000</v>
      </c>
      <c r="T27" s="18">
        <f>'Formato 6 a)'!F34</f>
        <v>158000</v>
      </c>
      <c r="U27" s="18">
        <f>'Formato 6 a)'!G34</f>
        <v>10000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10000</v>
      </c>
      <c r="Q28" s="18">
        <f>'Formato 6 a)'!C35</f>
        <v>10000</v>
      </c>
      <c r="R28" s="18">
        <f>'Formato 6 a)'!D35</f>
        <v>20000</v>
      </c>
      <c r="S28" s="18">
        <f>'Formato 6 a)'!E35</f>
        <v>10073</v>
      </c>
      <c r="T28" s="18">
        <f>'Formato 6 a)'!F35</f>
        <v>10073</v>
      </c>
      <c r="U28" s="18">
        <f>'Formato 6 a)'!G35</f>
        <v>9927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6000</v>
      </c>
      <c r="Q29" s="18">
        <f>'Formato 6 a)'!C36</f>
        <v>10574</v>
      </c>
      <c r="R29" s="18">
        <f>'Formato 6 a)'!D36</f>
        <v>16574</v>
      </c>
      <c r="S29" s="18">
        <f>'Formato 6 a)'!E36</f>
        <v>16149.26</v>
      </c>
      <c r="T29" s="18">
        <f>'Formato 6 a)'!F36</f>
        <v>16149.26</v>
      </c>
      <c r="U29" s="18">
        <f>'Formato 6 a)'!G36</f>
        <v>424.74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50000</v>
      </c>
      <c r="Q30" s="18">
        <f>'Formato 6 a)'!C37</f>
        <v>319010.52</v>
      </c>
      <c r="R30" s="18">
        <f>'Formato 6 a)'!D37</f>
        <v>369010.52</v>
      </c>
      <c r="S30" s="18">
        <f>'Formato 6 a)'!E37</f>
        <v>369010.52</v>
      </c>
      <c r="T30" s="18">
        <f>'Formato 6 a)'!F37</f>
        <v>355088.52</v>
      </c>
      <c r="U30" s="18" t="str">
        <f>'Formato 6 a)'!G37</f>
        <v xml:space="preserve"> -   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 t="str">
        <f>'Formato 6 a)'!D40</f>
        <v xml:space="preserve"> -   </v>
      </c>
      <c r="S33" s="18">
        <f>'Formato 6 a)'!E40</f>
        <v>0</v>
      </c>
      <c r="T33" s="18">
        <f>'Formato 6 a)'!F40</f>
        <v>0</v>
      </c>
      <c r="U33" s="18" t="str">
        <f>'Formato 6 a)'!G40</f>
        <v xml:space="preserve"> -   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 t="str">
        <f>'Formato 6 a)'!D41</f>
        <v xml:space="preserve"> -   </v>
      </c>
      <c r="S34" s="18">
        <f>'Formato 6 a)'!E41</f>
        <v>0</v>
      </c>
      <c r="T34" s="18">
        <f>'Formato 6 a)'!F41</f>
        <v>0</v>
      </c>
      <c r="U34" s="18" t="str">
        <f>'Formato 6 a)'!G41</f>
        <v xml:space="preserve"> -   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 t="str">
        <f>'Formato 6 a)'!D42</f>
        <v xml:space="preserve"> -   </v>
      </c>
      <c r="S35" s="18">
        <f>'Formato 6 a)'!E42</f>
        <v>0</v>
      </c>
      <c r="T35" s="18">
        <f>'Formato 6 a)'!F42</f>
        <v>0</v>
      </c>
      <c r="U35" s="18" t="str">
        <f>'Formato 6 a)'!G42</f>
        <v xml:space="preserve"> -   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 t="str">
        <f>'Formato 6 a)'!D43</f>
        <v xml:space="preserve"> -   </v>
      </c>
      <c r="S36" s="18">
        <f>'Formato 6 a)'!E43</f>
        <v>0</v>
      </c>
      <c r="T36" s="18">
        <f>'Formato 6 a)'!F43</f>
        <v>0</v>
      </c>
      <c r="U36" s="18" t="str">
        <f>'Formato 6 a)'!G43</f>
        <v xml:space="preserve"> -   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 t="str">
        <f>'Formato 6 a)'!D44</f>
        <v xml:space="preserve"> -   </v>
      </c>
      <c r="S37" s="18">
        <f>'Formato 6 a)'!E44</f>
        <v>0</v>
      </c>
      <c r="T37" s="18">
        <f>'Formato 6 a)'!F44</f>
        <v>0</v>
      </c>
      <c r="U37" s="18" t="str">
        <f>'Formato 6 a)'!G44</f>
        <v xml:space="preserve"> -   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 t="str">
        <f>'Formato 6 a)'!D45</f>
        <v xml:space="preserve"> -   </v>
      </c>
      <c r="S38" s="18">
        <f>'Formato 6 a)'!E45</f>
        <v>0</v>
      </c>
      <c r="T38" s="18">
        <f>'Formato 6 a)'!F45</f>
        <v>0</v>
      </c>
      <c r="U38" s="18" t="str">
        <f>'Formato 6 a)'!G45</f>
        <v xml:space="preserve"> -   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 t="str">
        <f>'Formato 6 a)'!D46</f>
        <v xml:space="preserve"> -   </v>
      </c>
      <c r="S39" s="18">
        <f>'Formato 6 a)'!E46</f>
        <v>0</v>
      </c>
      <c r="T39" s="18">
        <f>'Formato 6 a)'!F46</f>
        <v>0</v>
      </c>
      <c r="U39" s="18" t="str">
        <f>'Formato 6 a)'!G46</f>
        <v xml:space="preserve"> -   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 t="str">
        <f>'Formato 6 a)'!D47</f>
        <v xml:space="preserve"> -   </v>
      </c>
      <c r="S40" s="18">
        <f>'Formato 6 a)'!E47</f>
        <v>0</v>
      </c>
      <c r="T40" s="18">
        <f>'Formato 6 a)'!F47</f>
        <v>0</v>
      </c>
      <c r="U40" s="18" t="str">
        <f>'Formato 6 a)'!G47</f>
        <v xml:space="preserve"> -   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465498</v>
      </c>
      <c r="R41" s="18">
        <f>'Formato 6 a)'!D48</f>
        <v>465498</v>
      </c>
      <c r="S41" s="18">
        <f>'Formato 6 a)'!E48</f>
        <v>451662</v>
      </c>
      <c r="T41" s="18">
        <f>'Formato 6 a)'!F48</f>
        <v>411704</v>
      </c>
      <c r="U41" s="18">
        <f>'Formato 6 a)'!G48</f>
        <v>13836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 t="str">
        <f>'Formato 6 a)'!B49</f>
        <v xml:space="preserve"> -   </v>
      </c>
      <c r="Q42" s="18">
        <f>'Formato 6 a)'!C49</f>
        <v>105008</v>
      </c>
      <c r="R42" s="18">
        <f>'Formato 6 a)'!D49</f>
        <v>105008</v>
      </c>
      <c r="S42" s="18">
        <f>'Formato 6 a)'!E49</f>
        <v>91172</v>
      </c>
      <c r="T42" s="18">
        <f>'Formato 6 a)'!F49</f>
        <v>51214</v>
      </c>
      <c r="U42" s="18">
        <f>'Formato 6 a)'!G49</f>
        <v>13836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 t="str">
        <f>'Formato 6 a)'!D50</f>
        <v xml:space="preserve"> -   </v>
      </c>
      <c r="S43" s="18">
        <f>'Formato 6 a)'!E50</f>
        <v>0</v>
      </c>
      <c r="T43" s="18">
        <f>'Formato 6 a)'!F50</f>
        <v>0</v>
      </c>
      <c r="U43" s="18" t="str">
        <f>'Formato 6 a)'!G50</f>
        <v xml:space="preserve"> -   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 t="str">
        <f>'Formato 6 a)'!D51</f>
        <v xml:space="preserve"> -   </v>
      </c>
      <c r="S44" s="18">
        <f>'Formato 6 a)'!E51</f>
        <v>0</v>
      </c>
      <c r="T44" s="18">
        <f>'Formato 6 a)'!F51</f>
        <v>0</v>
      </c>
      <c r="U44" s="18" t="str">
        <f>'Formato 6 a)'!G51</f>
        <v xml:space="preserve"> -   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 t="str">
        <f>'Formato 6 a)'!B52</f>
        <v xml:space="preserve"> -   </v>
      </c>
      <c r="Q45" s="18">
        <f>'Formato 6 a)'!C52</f>
        <v>360490</v>
      </c>
      <c r="R45" s="18">
        <f>'Formato 6 a)'!D52</f>
        <v>360490</v>
      </c>
      <c r="S45" s="18">
        <f>'Formato 6 a)'!E52</f>
        <v>360490</v>
      </c>
      <c r="T45" s="18">
        <f>'Formato 6 a)'!F52</f>
        <v>360490</v>
      </c>
      <c r="U45" s="18" t="str">
        <f>'Formato 6 a)'!G52</f>
        <v xml:space="preserve"> -   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 t="str">
        <f>'Formato 6 a)'!D53</f>
        <v xml:space="preserve"> -   </v>
      </c>
      <c r="S46" s="18">
        <f>'Formato 6 a)'!E53</f>
        <v>0</v>
      </c>
      <c r="T46" s="18">
        <f>'Formato 6 a)'!F53</f>
        <v>0</v>
      </c>
      <c r="U46" s="18" t="str">
        <f>'Formato 6 a)'!G53</f>
        <v xml:space="preserve"> -   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 t="str">
        <f>'Formato 6 a)'!D54</f>
        <v xml:space="preserve"> -   </v>
      </c>
      <c r="S47" s="18">
        <f>'Formato 6 a)'!E54</f>
        <v>0</v>
      </c>
      <c r="T47" s="18">
        <f>'Formato 6 a)'!F54</f>
        <v>0</v>
      </c>
      <c r="U47" s="18" t="str">
        <f>'Formato 6 a)'!G54</f>
        <v xml:space="preserve"> -   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 t="str">
        <f>'Formato 6 a)'!D55</f>
        <v xml:space="preserve"> -   </v>
      </c>
      <c r="S48" s="18">
        <f>'Formato 6 a)'!E55</f>
        <v>0</v>
      </c>
      <c r="T48" s="18">
        <f>'Formato 6 a)'!F55</f>
        <v>0</v>
      </c>
      <c r="U48" s="18" t="str">
        <f>'Formato 6 a)'!G55</f>
        <v xml:space="preserve"> -   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 t="str">
        <f>'Formato 6 a)'!D56</f>
        <v xml:space="preserve"> -   </v>
      </c>
      <c r="S49" s="18">
        <f>'Formato 6 a)'!E56</f>
        <v>0</v>
      </c>
      <c r="T49" s="18">
        <f>'Formato 6 a)'!F56</f>
        <v>0</v>
      </c>
      <c r="U49" s="18" t="str">
        <f>'Formato 6 a)'!G56</f>
        <v xml:space="preserve"> -   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 t="str">
        <f>'Formato 6 a)'!D57</f>
        <v xml:space="preserve"> -   </v>
      </c>
      <c r="S50" s="18">
        <f>'Formato 6 a)'!E57</f>
        <v>0</v>
      </c>
      <c r="T50" s="18">
        <f>'Formato 6 a)'!F57</f>
        <v>0</v>
      </c>
      <c r="U50" s="18" t="str">
        <f>'Formato 6 a)'!G57</f>
        <v xml:space="preserve"> -   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2454953.9700000002</v>
      </c>
      <c r="R51" s="18">
        <f>'Formato 6 a)'!D58</f>
        <v>2454953.9700000002</v>
      </c>
      <c r="S51" s="18">
        <f>'Formato 6 a)'!E58</f>
        <v>2442128.09</v>
      </c>
      <c r="T51" s="18">
        <f>'Formato 6 a)'!F58</f>
        <v>184502.02</v>
      </c>
      <c r="U51" s="18">
        <f>'Formato 6 a)'!G58</f>
        <v>12825.880000000001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 t="str">
        <f>'Formato 6 a)'!B59</f>
        <v xml:space="preserve"> -   </v>
      </c>
      <c r="Q52" s="18">
        <f>'Formato 6 a)'!C59</f>
        <v>190139.95</v>
      </c>
      <c r="R52" s="18">
        <f>'Formato 6 a)'!D59</f>
        <v>190139.95</v>
      </c>
      <c r="S52" s="18">
        <f>'Formato 6 a)'!E59</f>
        <v>184502.02</v>
      </c>
      <c r="T52" s="18">
        <f>'Formato 6 a)'!F59</f>
        <v>184502.02</v>
      </c>
      <c r="U52" s="18">
        <f>'Formato 6 a)'!G59</f>
        <v>5637.93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 t="str">
        <f>'Formato 6 a)'!B60</f>
        <v xml:space="preserve"> -   </v>
      </c>
      <c r="Q53" s="18">
        <f>'Formato 6 a)'!C60</f>
        <v>2264814.02</v>
      </c>
      <c r="R53" s="18">
        <f>'Formato 6 a)'!D60</f>
        <v>2264814.02</v>
      </c>
      <c r="S53" s="18">
        <f>'Formato 6 a)'!E60</f>
        <v>2257626.0699999998</v>
      </c>
      <c r="T53" s="18" t="str">
        <f>'Formato 6 a)'!F60</f>
        <v xml:space="preserve"> -   </v>
      </c>
      <c r="U53" s="18">
        <f>'Formato 6 a)'!G60</f>
        <v>7187.95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 t="str">
        <f>'Formato 6 a)'!D61</f>
        <v xml:space="preserve"> -   </v>
      </c>
      <c r="S54" s="18">
        <f>'Formato 6 a)'!E61</f>
        <v>0</v>
      </c>
      <c r="T54" s="18">
        <f>'Formato 6 a)'!F61</f>
        <v>0</v>
      </c>
      <c r="U54" s="18" t="str">
        <f>'Formato 6 a)'!G61</f>
        <v xml:space="preserve"> -   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1229055.83</v>
      </c>
      <c r="Q55" s="18">
        <f>'Formato 6 a)'!C62</f>
        <v>-139954.49</v>
      </c>
      <c r="R55" s="18">
        <f>'Formato 6 a)'!D62</f>
        <v>1089101.3400000001</v>
      </c>
      <c r="S55" s="18">
        <f>'Formato 6 a)'!E62</f>
        <v>0</v>
      </c>
      <c r="T55" s="18">
        <f>'Formato 6 a)'!F62</f>
        <v>0</v>
      </c>
      <c r="U55" s="18">
        <f>'Formato 6 a)'!G62</f>
        <v>1089101.3400000001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 t="str">
        <f>'Formato 6 a)'!D63</f>
        <v xml:space="preserve"> -   </v>
      </c>
      <c r="S56" s="18">
        <f>'Formato 6 a)'!E63</f>
        <v>0</v>
      </c>
      <c r="T56" s="18">
        <f>'Formato 6 a)'!F63</f>
        <v>0</v>
      </c>
      <c r="U56" s="18" t="str">
        <f>'Formato 6 a)'!G63</f>
        <v xml:space="preserve"> -   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 t="str">
        <f>'Formato 6 a)'!D64</f>
        <v xml:space="preserve"> -   </v>
      </c>
      <c r="S57" s="18">
        <f>'Formato 6 a)'!E64</f>
        <v>0</v>
      </c>
      <c r="T57" s="18">
        <f>'Formato 6 a)'!F64</f>
        <v>0</v>
      </c>
      <c r="U57" s="18" t="str">
        <f>'Formato 6 a)'!G64</f>
        <v xml:space="preserve"> -   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 t="str">
        <f>'Formato 6 a)'!D65</f>
        <v xml:space="preserve"> -   </v>
      </c>
      <c r="S58" s="18">
        <f>'Formato 6 a)'!E65</f>
        <v>0</v>
      </c>
      <c r="T58" s="18">
        <f>'Formato 6 a)'!F65</f>
        <v>0</v>
      </c>
      <c r="U58" s="18" t="str">
        <f>'Formato 6 a)'!G65</f>
        <v xml:space="preserve"> -   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 t="str">
        <f>'Formato 6 a)'!D66</f>
        <v xml:space="preserve"> -   </v>
      </c>
      <c r="S59" s="18">
        <f>'Formato 6 a)'!E66</f>
        <v>0</v>
      </c>
      <c r="T59" s="18">
        <f>'Formato 6 a)'!F66</f>
        <v>0</v>
      </c>
      <c r="U59" s="18" t="str">
        <f>'Formato 6 a)'!G66</f>
        <v xml:space="preserve"> -   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 t="str">
        <f>'Formato 6 a)'!D67</f>
        <v xml:space="preserve"> -   </v>
      </c>
      <c r="S60" s="18">
        <f>'Formato 6 a)'!E67</f>
        <v>0</v>
      </c>
      <c r="T60" s="18">
        <f>'Formato 6 a)'!F67</f>
        <v>0</v>
      </c>
      <c r="U60" s="18" t="str">
        <f>'Formato 6 a)'!G67</f>
        <v xml:space="preserve"> -   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 t="str">
        <f>'Formato 6 a)'!D68</f>
        <v xml:space="preserve"> -   </v>
      </c>
      <c r="S61" s="18">
        <f>'Formato 6 a)'!E68</f>
        <v>0</v>
      </c>
      <c r="T61" s="18">
        <f>'Formato 6 a)'!F68</f>
        <v>0</v>
      </c>
      <c r="U61" s="18" t="str">
        <f>'Formato 6 a)'!G68</f>
        <v xml:space="preserve"> -   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 t="str">
        <f>'Formato 6 a)'!D69</f>
        <v xml:space="preserve"> -   </v>
      </c>
      <c r="S62" s="18">
        <f>'Formato 6 a)'!E69</f>
        <v>0</v>
      </c>
      <c r="T62" s="18">
        <f>'Formato 6 a)'!F69</f>
        <v>0</v>
      </c>
      <c r="U62" s="18" t="str">
        <f>'Formato 6 a)'!G69</f>
        <v xml:space="preserve"> -   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1229055.83</v>
      </c>
      <c r="Q63" s="18">
        <f>'Formato 6 a)'!C70</f>
        <v>-139954.49</v>
      </c>
      <c r="R63" s="18">
        <f>'Formato 6 a)'!D70</f>
        <v>1089101.3400000001</v>
      </c>
      <c r="S63" s="18" t="str">
        <f>'Formato 6 a)'!E70</f>
        <v xml:space="preserve"> -   </v>
      </c>
      <c r="T63" s="18" t="str">
        <f>'Formato 6 a)'!F70</f>
        <v xml:space="preserve"> -   </v>
      </c>
      <c r="U63" s="18">
        <f>'Formato 6 a)'!G70</f>
        <v>1089101.3400000001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 t="str">
        <f>'Formato 6 a)'!D72</f>
        <v xml:space="preserve"> -   </v>
      </c>
      <c r="S65" s="18">
        <f>'Formato 6 a)'!E72</f>
        <v>0</v>
      </c>
      <c r="T65" s="18">
        <f>'Formato 6 a)'!F72</f>
        <v>0</v>
      </c>
      <c r="U65" s="18" t="str">
        <f>'Formato 6 a)'!G72</f>
        <v xml:space="preserve"> -   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 t="str">
        <f>'Formato 6 a)'!D73</f>
        <v xml:space="preserve"> -   </v>
      </c>
      <c r="S66" s="18">
        <f>'Formato 6 a)'!E73</f>
        <v>0</v>
      </c>
      <c r="T66" s="18">
        <f>'Formato 6 a)'!F73</f>
        <v>0</v>
      </c>
      <c r="U66" s="18" t="str">
        <f>'Formato 6 a)'!G73</f>
        <v xml:space="preserve"> -   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 t="str">
        <f>'Formato 6 a)'!D74</f>
        <v xml:space="preserve"> -   </v>
      </c>
      <c r="S67" s="18">
        <f>'Formato 6 a)'!E74</f>
        <v>0</v>
      </c>
      <c r="T67" s="18">
        <f>'Formato 6 a)'!F74</f>
        <v>0</v>
      </c>
      <c r="U67" s="18" t="str">
        <f>'Formato 6 a)'!G74</f>
        <v xml:space="preserve"> -   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13249888.83</v>
      </c>
      <c r="Q76">
        <f>'Formato 6 a)'!C84</f>
        <v>2000000</v>
      </c>
      <c r="R76">
        <f>'Formato 6 a)'!D84</f>
        <v>15249888.83</v>
      </c>
      <c r="S76">
        <f>'Formato 6 a)'!E84</f>
        <v>3227994.13</v>
      </c>
      <c r="T76">
        <f>'Formato 6 a)'!F84</f>
        <v>1229055.83</v>
      </c>
      <c r="U76">
        <f>'Formato 6 a)'!G84</f>
        <v>12021894.699999999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1229055.83</v>
      </c>
      <c r="Q77">
        <f>'Formato 6 a)'!C85</f>
        <v>0</v>
      </c>
      <c r="R77">
        <f>'Formato 6 a)'!D85</f>
        <v>1229055.83</v>
      </c>
      <c r="S77">
        <f>'Formato 6 a)'!E85</f>
        <v>1229055.83</v>
      </c>
      <c r="T77">
        <f>'Formato 6 a)'!F85</f>
        <v>1229055.83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1229055.83</v>
      </c>
      <c r="Q78" t="str">
        <f>'Formato 6 a)'!C86</f>
        <v xml:space="preserve"> -   </v>
      </c>
      <c r="R78">
        <f>'Formato 6 a)'!D86</f>
        <v>1229055.83</v>
      </c>
      <c r="S78">
        <f>'Formato 6 a)'!E86</f>
        <v>1229055.83</v>
      </c>
      <c r="T78">
        <f>'Formato 6 a)'!F86</f>
        <v>1229055.83</v>
      </c>
      <c r="U78" t="str">
        <f>'Formato 6 a)'!G86</f>
        <v xml:space="preserve"> -   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 t="str">
        <f>'Formato 6 a)'!D87</f>
        <v xml:space="preserve"> -   </v>
      </c>
      <c r="S79">
        <f>'Formato 6 a)'!E87</f>
        <v>0</v>
      </c>
      <c r="T79">
        <f>'Formato 6 a)'!F87</f>
        <v>0</v>
      </c>
      <c r="U79" t="str">
        <f>'Formato 6 a)'!G87</f>
        <v xml:space="preserve"> -   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 t="str">
        <f>'Formato 6 a)'!D88</f>
        <v xml:space="preserve"> -   </v>
      </c>
      <c r="S80">
        <f>'Formato 6 a)'!E88</f>
        <v>0</v>
      </c>
      <c r="T80">
        <f>'Formato 6 a)'!F88</f>
        <v>0</v>
      </c>
      <c r="U80" t="str">
        <f>'Formato 6 a)'!G88</f>
        <v xml:space="preserve"> -   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 t="str">
        <f>'Formato 6 a)'!D89</f>
        <v xml:space="preserve"> -   </v>
      </c>
      <c r="S81">
        <f>'Formato 6 a)'!E89</f>
        <v>0</v>
      </c>
      <c r="T81">
        <f>'Formato 6 a)'!F89</f>
        <v>0</v>
      </c>
      <c r="U81" t="str">
        <f>'Formato 6 a)'!G89</f>
        <v xml:space="preserve"> -   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 t="str">
        <f>'Formato 6 a)'!D90</f>
        <v xml:space="preserve"> -   </v>
      </c>
      <c r="S82">
        <f>'Formato 6 a)'!E90</f>
        <v>0</v>
      </c>
      <c r="T82">
        <f>'Formato 6 a)'!F90</f>
        <v>0</v>
      </c>
      <c r="U82" t="str">
        <f>'Formato 6 a)'!G90</f>
        <v xml:space="preserve"> -   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 t="str">
        <f>'Formato 6 a)'!D91</f>
        <v xml:space="preserve"> -   </v>
      </c>
      <c r="S83">
        <f>'Formato 6 a)'!E91</f>
        <v>0</v>
      </c>
      <c r="T83">
        <f>'Formato 6 a)'!F91</f>
        <v>0</v>
      </c>
      <c r="U83" t="str">
        <f>'Formato 6 a)'!G91</f>
        <v xml:space="preserve"> -   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 t="str">
        <f>'Formato 6 a)'!D92</f>
        <v xml:space="preserve"> -   </v>
      </c>
      <c r="S84">
        <f>'Formato 6 a)'!E92</f>
        <v>0</v>
      </c>
      <c r="T84">
        <f>'Formato 6 a)'!F92</f>
        <v>0</v>
      </c>
      <c r="U84" t="str">
        <f>'Formato 6 a)'!G92</f>
        <v xml:space="preserve"> -   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12020833</v>
      </c>
      <c r="Q125">
        <f>'Formato 6 a)'!C133</f>
        <v>2000000</v>
      </c>
      <c r="R125">
        <f>'Formato 6 a)'!D133</f>
        <v>14020833</v>
      </c>
      <c r="S125">
        <f>'Formato 6 a)'!E133</f>
        <v>1998938.3</v>
      </c>
      <c r="T125">
        <f>'Formato 6 a)'!F133</f>
        <v>0</v>
      </c>
      <c r="U125">
        <f>'Formato 6 a)'!G133</f>
        <v>12021894.699999999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12020833</v>
      </c>
      <c r="Q126" t="str">
        <f>'Formato 6 a)'!C134</f>
        <v xml:space="preserve"> -   </v>
      </c>
      <c r="R126">
        <f>'Formato 6 a)'!D134</f>
        <v>12020833</v>
      </c>
      <c r="S126" t="str">
        <f>'Formato 6 a)'!E134</f>
        <v xml:space="preserve"> -   </v>
      </c>
      <c r="T126" t="str">
        <f>'Formato 6 a)'!F134</f>
        <v xml:space="preserve"> -   </v>
      </c>
      <c r="U126">
        <f>'Formato 6 a)'!G134</f>
        <v>12020833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 t="str">
        <f>'Formato 6 a)'!B135</f>
        <v xml:space="preserve"> -   </v>
      </c>
      <c r="Q127">
        <f>'Formato 6 a)'!C135</f>
        <v>2000000</v>
      </c>
      <c r="R127">
        <f>'Formato 6 a)'!D135</f>
        <v>2000000</v>
      </c>
      <c r="S127">
        <f>'Formato 6 a)'!E135</f>
        <v>1998938.3</v>
      </c>
      <c r="T127" t="str">
        <f>'Formato 6 a)'!F135</f>
        <v xml:space="preserve"> -   </v>
      </c>
      <c r="U127">
        <f>'Formato 6 a)'!G135</f>
        <v>1061.7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 x14ac:dyDescent="0.4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17638121.23</v>
      </c>
      <c r="Q150">
        <f>'Formato 6 a)'!C159</f>
        <v>6072374</v>
      </c>
      <c r="R150">
        <f>'Formato 6 a)'!D159</f>
        <v>23710495.23</v>
      </c>
      <c r="S150">
        <f>'Formato 6 a)'!E159</f>
        <v>10393695.6</v>
      </c>
      <c r="T150">
        <f>'Formato 6 a)'!F159</f>
        <v>5947038.1399999997</v>
      </c>
      <c r="U150">
        <f>'Formato 6 a)'!G159</f>
        <v>13316799.629999999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opLeftCell="A7" zoomScale="90" zoomScaleNormal="90" workbookViewId="0">
      <selection activeCell="G29" sqref="G29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85" t="s">
        <v>3290</v>
      </c>
      <c r="B1" s="185"/>
      <c r="C1" s="185"/>
      <c r="D1" s="185"/>
      <c r="E1" s="185"/>
      <c r="F1" s="185"/>
      <c r="G1" s="185"/>
    </row>
    <row r="2" spans="1:7" ht="14.25" x14ac:dyDescent="0.45">
      <c r="A2" s="166" t="str">
        <f>ENTE_PUBLICO_A</f>
        <v>INSTITUTO MUNICIPAL DE VIVIENDA DE DOLORES HIDALGO, CIN, GTO., Gobierno del Estado de Guanajuato (a)</v>
      </c>
      <c r="B2" s="167"/>
      <c r="C2" s="167"/>
      <c r="D2" s="167"/>
      <c r="E2" s="167"/>
      <c r="F2" s="167"/>
      <c r="G2" s="168"/>
    </row>
    <row r="3" spans="1:7" x14ac:dyDescent="0.25">
      <c r="A3" s="169" t="s">
        <v>277</v>
      </c>
      <c r="B3" s="170"/>
      <c r="C3" s="170"/>
      <c r="D3" s="170"/>
      <c r="E3" s="170"/>
      <c r="F3" s="170"/>
      <c r="G3" s="171"/>
    </row>
    <row r="4" spans="1:7" x14ac:dyDescent="0.25">
      <c r="A4" s="169" t="s">
        <v>431</v>
      </c>
      <c r="B4" s="170"/>
      <c r="C4" s="170"/>
      <c r="D4" s="170"/>
      <c r="E4" s="170"/>
      <c r="F4" s="170"/>
      <c r="G4" s="171"/>
    </row>
    <row r="5" spans="1:7" ht="14.25" x14ac:dyDescent="0.45">
      <c r="A5" s="172" t="str">
        <f>TRIMESTRE</f>
        <v>Del 1 de enero al 31 de diciembre de 2020 (b)</v>
      </c>
      <c r="B5" s="173"/>
      <c r="C5" s="173"/>
      <c r="D5" s="173"/>
      <c r="E5" s="173"/>
      <c r="F5" s="173"/>
      <c r="G5" s="174"/>
    </row>
    <row r="6" spans="1:7" ht="14.25" x14ac:dyDescent="0.45">
      <c r="A6" s="175" t="s">
        <v>118</v>
      </c>
      <c r="B6" s="176"/>
      <c r="C6" s="176"/>
      <c r="D6" s="176"/>
      <c r="E6" s="176"/>
      <c r="F6" s="176"/>
      <c r="G6" s="177"/>
    </row>
    <row r="7" spans="1:7" x14ac:dyDescent="0.25">
      <c r="A7" s="181" t="s">
        <v>0</v>
      </c>
      <c r="B7" s="183" t="s">
        <v>279</v>
      </c>
      <c r="C7" s="183"/>
      <c r="D7" s="183"/>
      <c r="E7" s="183"/>
      <c r="F7" s="183"/>
      <c r="G7" s="187" t="s">
        <v>280</v>
      </c>
    </row>
    <row r="8" spans="1:7" ht="30" x14ac:dyDescent="0.25">
      <c r="A8" s="182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86"/>
    </row>
    <row r="9" spans="1:7" x14ac:dyDescent="0.25">
      <c r="A9" s="52" t="s">
        <v>440</v>
      </c>
      <c r="B9" s="59">
        <f>SUM(B10:GASTO_NE_FIN_01)</f>
        <v>4388232.4000000004</v>
      </c>
      <c r="C9" s="59">
        <f>SUM(C10:GASTO_NE_FIN_02)</f>
        <v>4072374</v>
      </c>
      <c r="D9" s="59">
        <f>SUM(D10:GASTO_NE_FIN_03)</f>
        <v>8460606.4000000004</v>
      </c>
      <c r="E9" s="59">
        <f>SUM(E10:GASTO_NE_FIN_04)</f>
        <v>7165701.4699999997</v>
      </c>
      <c r="F9" s="59">
        <f>SUM(F10:GASTO_NE_FIN_05)</f>
        <v>4717982.3099999996</v>
      </c>
      <c r="G9" s="59">
        <f>SUM(G10:GASTO_NE_FIN_06)</f>
        <v>1294904.9300000002</v>
      </c>
    </row>
    <row r="10" spans="1:7" s="24" customFormat="1" x14ac:dyDescent="0.25">
      <c r="A10" s="144" t="s">
        <v>432</v>
      </c>
      <c r="B10" s="154">
        <v>4388232.4000000004</v>
      </c>
      <c r="C10" s="154" t="s">
        <v>3303</v>
      </c>
      <c r="D10" s="153">
        <v>4388232.4000000004</v>
      </c>
      <c r="E10" s="154">
        <v>7165701.4699999997</v>
      </c>
      <c r="F10" s="154">
        <v>4717982.3099999996</v>
      </c>
      <c r="G10" s="153">
        <v>-2777469.07</v>
      </c>
    </row>
    <row r="11" spans="1:7" s="24" customFormat="1" x14ac:dyDescent="0.25">
      <c r="A11" s="144" t="s">
        <v>433</v>
      </c>
      <c r="B11" s="154" t="s">
        <v>3303</v>
      </c>
      <c r="C11" s="154">
        <v>4072374</v>
      </c>
      <c r="D11" s="153">
        <v>4072374</v>
      </c>
      <c r="E11" s="154" t="s">
        <v>3303</v>
      </c>
      <c r="F11" s="154" t="s">
        <v>3303</v>
      </c>
      <c r="G11" s="153">
        <v>4072374</v>
      </c>
    </row>
    <row r="12" spans="1:7" s="24" customFormat="1" x14ac:dyDescent="0.25">
      <c r="A12" s="144" t="s">
        <v>434</v>
      </c>
      <c r="B12" s="153"/>
      <c r="C12" s="153"/>
      <c r="D12" s="153">
        <f t="shared" ref="D12:D17" si="0">B12+C12</f>
        <v>0</v>
      </c>
      <c r="E12" s="153"/>
      <c r="F12" s="153"/>
      <c r="G12" s="153">
        <f t="shared" ref="G12:G17" si="1">D12-E12</f>
        <v>0</v>
      </c>
    </row>
    <row r="13" spans="1:7" s="24" customFormat="1" x14ac:dyDescent="0.25">
      <c r="A13" s="144" t="s">
        <v>435</v>
      </c>
      <c r="B13" s="153"/>
      <c r="C13" s="153"/>
      <c r="D13" s="153">
        <f t="shared" si="0"/>
        <v>0</v>
      </c>
      <c r="E13" s="153"/>
      <c r="F13" s="153"/>
      <c r="G13" s="153">
        <f t="shared" si="1"/>
        <v>0</v>
      </c>
    </row>
    <row r="14" spans="1:7" s="24" customFormat="1" x14ac:dyDescent="0.25">
      <c r="A14" s="144" t="s">
        <v>436</v>
      </c>
      <c r="B14" s="153"/>
      <c r="C14" s="153"/>
      <c r="D14" s="153">
        <f t="shared" si="0"/>
        <v>0</v>
      </c>
      <c r="E14" s="153"/>
      <c r="F14" s="153"/>
      <c r="G14" s="153">
        <f t="shared" si="1"/>
        <v>0</v>
      </c>
    </row>
    <row r="15" spans="1:7" s="24" customFormat="1" x14ac:dyDescent="0.25">
      <c r="A15" s="144" t="s">
        <v>437</v>
      </c>
      <c r="B15" s="153"/>
      <c r="C15" s="153"/>
      <c r="D15" s="153">
        <f t="shared" si="0"/>
        <v>0</v>
      </c>
      <c r="E15" s="153"/>
      <c r="F15" s="153"/>
      <c r="G15" s="153">
        <f t="shared" si="1"/>
        <v>0</v>
      </c>
    </row>
    <row r="16" spans="1:7" s="24" customFormat="1" x14ac:dyDescent="0.25">
      <c r="A16" s="144" t="s">
        <v>438</v>
      </c>
      <c r="B16" s="153"/>
      <c r="C16" s="153"/>
      <c r="D16" s="153">
        <f t="shared" si="0"/>
        <v>0</v>
      </c>
      <c r="E16" s="153"/>
      <c r="F16" s="153"/>
      <c r="G16" s="153">
        <f t="shared" si="1"/>
        <v>0</v>
      </c>
    </row>
    <row r="17" spans="1:7" s="24" customFormat="1" x14ac:dyDescent="0.25">
      <c r="A17" s="144" t="s">
        <v>439</v>
      </c>
      <c r="B17" s="153"/>
      <c r="C17" s="153"/>
      <c r="D17" s="153">
        <f t="shared" si="0"/>
        <v>0</v>
      </c>
      <c r="E17" s="153"/>
      <c r="F17" s="153"/>
      <c r="G17" s="153">
        <f t="shared" si="1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441</v>
      </c>
      <c r="B19" s="61">
        <f>SUM(B20:GASTO_E_FIN_01)</f>
        <v>13249888.83</v>
      </c>
      <c r="C19" s="61">
        <f>SUM(C20:GASTO_E_FIN_02)</f>
        <v>2000000</v>
      </c>
      <c r="D19" s="61">
        <f>SUM(D20:GASTO_E_FIN_03)</f>
        <v>15249888.83</v>
      </c>
      <c r="E19" s="61">
        <f>SUM(E20:GASTO_E_FIN_04)</f>
        <v>3227994.13</v>
      </c>
      <c r="F19" s="61">
        <f>SUM(F20:GASTO_E_FIN_05)</f>
        <v>1229055.83</v>
      </c>
      <c r="G19" s="61">
        <f>SUM(G20:GASTO_E_FIN_06)</f>
        <v>12021894.699999999</v>
      </c>
    </row>
    <row r="20" spans="1:7" s="24" customFormat="1" x14ac:dyDescent="0.25">
      <c r="A20" s="144" t="s">
        <v>432</v>
      </c>
      <c r="B20" s="154">
        <v>13249888.83</v>
      </c>
      <c r="C20" s="154">
        <v>2000000</v>
      </c>
      <c r="D20" s="153">
        <v>15249888.83</v>
      </c>
      <c r="E20" s="154">
        <v>3227994.13</v>
      </c>
      <c r="F20" s="154">
        <v>1229055.83</v>
      </c>
      <c r="G20" s="153">
        <v>12021894.699999999</v>
      </c>
    </row>
    <row r="21" spans="1:7" s="24" customFormat="1" x14ac:dyDescent="0.25">
      <c r="A21" s="144" t="s">
        <v>433</v>
      </c>
      <c r="B21" s="153"/>
      <c r="C21" s="153"/>
      <c r="D21" s="153">
        <f t="shared" ref="D21:D27" si="2">B21+C21</f>
        <v>0</v>
      </c>
      <c r="E21" s="153"/>
      <c r="F21" s="153"/>
      <c r="G21" s="153">
        <f t="shared" ref="G21:G27" si="3">D21-E21</f>
        <v>0</v>
      </c>
    </row>
    <row r="22" spans="1:7" s="24" customFormat="1" x14ac:dyDescent="0.25">
      <c r="A22" s="144" t="s">
        <v>434</v>
      </c>
      <c r="B22" s="153"/>
      <c r="C22" s="153"/>
      <c r="D22" s="153">
        <f t="shared" si="2"/>
        <v>0</v>
      </c>
      <c r="E22" s="153"/>
      <c r="F22" s="153"/>
      <c r="G22" s="153">
        <f t="shared" si="3"/>
        <v>0</v>
      </c>
    </row>
    <row r="23" spans="1:7" s="24" customFormat="1" x14ac:dyDescent="0.25">
      <c r="A23" s="144" t="s">
        <v>435</v>
      </c>
      <c r="B23" s="153"/>
      <c r="C23" s="153"/>
      <c r="D23" s="153">
        <f t="shared" si="2"/>
        <v>0</v>
      </c>
      <c r="E23" s="153"/>
      <c r="F23" s="153"/>
      <c r="G23" s="153">
        <f t="shared" si="3"/>
        <v>0</v>
      </c>
    </row>
    <row r="24" spans="1:7" s="24" customFormat="1" x14ac:dyDescent="0.25">
      <c r="A24" s="144" t="s">
        <v>436</v>
      </c>
      <c r="B24" s="153"/>
      <c r="C24" s="153"/>
      <c r="D24" s="153">
        <f t="shared" si="2"/>
        <v>0</v>
      </c>
      <c r="E24" s="153"/>
      <c r="F24" s="153"/>
      <c r="G24" s="153">
        <f t="shared" si="3"/>
        <v>0</v>
      </c>
    </row>
    <row r="25" spans="1:7" s="24" customFormat="1" x14ac:dyDescent="0.25">
      <c r="A25" s="144" t="s">
        <v>437</v>
      </c>
      <c r="B25" s="153"/>
      <c r="C25" s="153"/>
      <c r="D25" s="153">
        <f t="shared" si="2"/>
        <v>0</v>
      </c>
      <c r="E25" s="153"/>
      <c r="F25" s="153"/>
      <c r="G25" s="153">
        <f t="shared" si="3"/>
        <v>0</v>
      </c>
    </row>
    <row r="26" spans="1:7" s="24" customFormat="1" x14ac:dyDescent="0.25">
      <c r="A26" s="144" t="s">
        <v>438</v>
      </c>
      <c r="B26" s="153"/>
      <c r="C26" s="153"/>
      <c r="D26" s="153">
        <f t="shared" si="2"/>
        <v>0</v>
      </c>
      <c r="E26" s="153"/>
      <c r="F26" s="153"/>
      <c r="G26" s="153">
        <f t="shared" si="3"/>
        <v>0</v>
      </c>
    </row>
    <row r="27" spans="1:7" s="24" customFormat="1" x14ac:dyDescent="0.25">
      <c r="A27" s="144" t="s">
        <v>439</v>
      </c>
      <c r="B27" s="153"/>
      <c r="C27" s="153"/>
      <c r="D27" s="153">
        <f t="shared" si="2"/>
        <v>0</v>
      </c>
      <c r="E27" s="153"/>
      <c r="F27" s="153"/>
      <c r="G27" s="153">
        <f t="shared" si="3"/>
        <v>0</v>
      </c>
    </row>
    <row r="28" spans="1:7" ht="14.25" x14ac:dyDescent="0.45">
      <c r="A28" s="76" t="s">
        <v>686</v>
      </c>
      <c r="B28" s="54"/>
      <c r="C28" s="54"/>
      <c r="D28" s="54"/>
      <c r="E28" s="54"/>
      <c r="F28" s="54"/>
      <c r="G28" s="54"/>
    </row>
    <row r="29" spans="1:7" ht="14.25" x14ac:dyDescent="0.45">
      <c r="A29" s="55" t="s">
        <v>360</v>
      </c>
      <c r="B29" s="61">
        <f>GASTO_NE_T1+GASTO_E_T1</f>
        <v>17638121.23</v>
      </c>
      <c r="C29" s="61">
        <f>GASTO_NE_T2+GASTO_E_T2</f>
        <v>6072374</v>
      </c>
      <c r="D29" s="61">
        <f>GASTO_NE_T3+GASTO_E_T3</f>
        <v>23710495.23</v>
      </c>
      <c r="E29" s="61">
        <f>GASTO_NE_T4+GASTO_E_T4</f>
        <v>10393695.6</v>
      </c>
      <c r="F29" s="61">
        <f>GASTO_NE_T5+GASTO_E_T5</f>
        <v>5947038.1399999997</v>
      </c>
      <c r="G29" s="61">
        <f>GASTO_NE_T6+GASTO_E_T6</f>
        <v>13316799.629999999</v>
      </c>
    </row>
    <row r="30" spans="1:7" ht="14.25" x14ac:dyDescent="0.4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4388232.4000000004</v>
      </c>
      <c r="Q2" s="18">
        <f>GASTO_NE_T2</f>
        <v>4072374</v>
      </c>
      <c r="R2" s="18">
        <f>GASTO_NE_T3</f>
        <v>8460606.4000000004</v>
      </c>
      <c r="S2" s="18">
        <f>GASTO_NE_T4</f>
        <v>7165701.4699999997</v>
      </c>
      <c r="T2" s="18">
        <f>GASTO_NE_T5</f>
        <v>4717982.3099999996</v>
      </c>
      <c r="U2" s="18">
        <f>GASTO_NE_T6</f>
        <v>1294904.9300000002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13249888.83</v>
      </c>
      <c r="Q3" s="18">
        <f>GASTO_E_T2</f>
        <v>2000000</v>
      </c>
      <c r="R3" s="18">
        <f>GASTO_E_T3</f>
        <v>15249888.83</v>
      </c>
      <c r="S3" s="18">
        <f>GASTO_E_T4</f>
        <v>3227994.13</v>
      </c>
      <c r="T3" s="18">
        <f>GASTO_E_T5</f>
        <v>1229055.83</v>
      </c>
      <c r="U3" s="18">
        <f>GASTO_E_T6</f>
        <v>12021894.699999999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17638121.23</v>
      </c>
      <c r="Q4" s="18">
        <f>TOTAL_E_T2</f>
        <v>6072374</v>
      </c>
      <c r="R4" s="18">
        <f>TOTAL_E_T3</f>
        <v>23710495.23</v>
      </c>
      <c r="S4" s="18">
        <f>TOTAL_E_T4</f>
        <v>10393695.6</v>
      </c>
      <c r="T4" s="18">
        <f>TOTAL_E_T5</f>
        <v>5947038.1399999997</v>
      </c>
      <c r="U4" s="18">
        <f>TOTAL_E_T6</f>
        <v>13316799.629999999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A52" zoomScale="90" zoomScaleNormal="90" workbookViewId="0">
      <selection activeCell="G77" sqref="G77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91" t="s">
        <v>3289</v>
      </c>
      <c r="B1" s="192"/>
      <c r="C1" s="192"/>
      <c r="D1" s="192"/>
      <c r="E1" s="192"/>
      <c r="F1" s="192"/>
      <c r="G1" s="192"/>
    </row>
    <row r="2" spans="1:7" ht="14.25" x14ac:dyDescent="0.45">
      <c r="A2" s="166" t="str">
        <f>ENTE_PUBLICO_A</f>
        <v>INSTITUTO MUNICIPAL DE VIVIENDA DE DOLORES HIDALGO, CIN, GTO., Gobierno del Estado de Guanajuato (a)</v>
      </c>
      <c r="B2" s="167"/>
      <c r="C2" s="167"/>
      <c r="D2" s="167"/>
      <c r="E2" s="167"/>
      <c r="F2" s="167"/>
      <c r="G2" s="168"/>
    </row>
    <row r="3" spans="1:7" x14ac:dyDescent="0.25">
      <c r="A3" s="169" t="s">
        <v>396</v>
      </c>
      <c r="B3" s="170"/>
      <c r="C3" s="170"/>
      <c r="D3" s="170"/>
      <c r="E3" s="170"/>
      <c r="F3" s="170"/>
      <c r="G3" s="171"/>
    </row>
    <row r="4" spans="1:7" x14ac:dyDescent="0.25">
      <c r="A4" s="169" t="s">
        <v>397</v>
      </c>
      <c r="B4" s="170"/>
      <c r="C4" s="170"/>
      <c r="D4" s="170"/>
      <c r="E4" s="170"/>
      <c r="F4" s="170"/>
      <c r="G4" s="171"/>
    </row>
    <row r="5" spans="1:7" ht="14.25" x14ac:dyDescent="0.45">
      <c r="A5" s="172" t="str">
        <f>TRIMESTRE</f>
        <v>Del 1 de enero al 31 de diciembre de 2020 (b)</v>
      </c>
      <c r="B5" s="173"/>
      <c r="C5" s="173"/>
      <c r="D5" s="173"/>
      <c r="E5" s="173"/>
      <c r="F5" s="173"/>
      <c r="G5" s="174"/>
    </row>
    <row r="6" spans="1:7" ht="14.25" x14ac:dyDescent="0.45">
      <c r="A6" s="175" t="s">
        <v>118</v>
      </c>
      <c r="B6" s="176"/>
      <c r="C6" s="176"/>
      <c r="D6" s="176"/>
      <c r="E6" s="176"/>
      <c r="F6" s="176"/>
      <c r="G6" s="177"/>
    </row>
    <row r="7" spans="1:7" x14ac:dyDescent="0.25">
      <c r="A7" s="170" t="s">
        <v>0</v>
      </c>
      <c r="B7" s="175" t="s">
        <v>279</v>
      </c>
      <c r="C7" s="176"/>
      <c r="D7" s="176"/>
      <c r="E7" s="176"/>
      <c r="F7" s="177"/>
      <c r="G7" s="187" t="s">
        <v>3286</v>
      </c>
    </row>
    <row r="8" spans="1:7" ht="30.75" customHeight="1" x14ac:dyDescent="0.25">
      <c r="A8" s="170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86"/>
    </row>
    <row r="9" spans="1:7" ht="14.25" x14ac:dyDescent="0.45">
      <c r="A9" s="52" t="s">
        <v>363</v>
      </c>
      <c r="B9" s="70">
        <f>SUM(B10,B19,B27,B37)</f>
        <v>4388232.4000000004</v>
      </c>
      <c r="C9" s="70">
        <f t="shared" ref="C9:G9" si="0">SUM(C10,C19,C27,C37)</f>
        <v>4072374</v>
      </c>
      <c r="D9" s="70">
        <f t="shared" si="0"/>
        <v>8460606.4000000004</v>
      </c>
      <c r="E9" s="70">
        <f t="shared" si="0"/>
        <v>7165701.4699999997</v>
      </c>
      <c r="F9" s="70">
        <f t="shared" si="0"/>
        <v>4717982.3099999996</v>
      </c>
      <c r="G9" s="70">
        <f t="shared" si="0"/>
        <v>1294904.93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157"/>
      <c r="C11" s="157"/>
      <c r="D11" s="157">
        <f>B11+C11</f>
        <v>0</v>
      </c>
      <c r="E11" s="157"/>
      <c r="F11" s="157"/>
      <c r="G11" s="157">
        <f>D11-E11</f>
        <v>0</v>
      </c>
    </row>
    <row r="12" spans="1:7" x14ac:dyDescent="0.25">
      <c r="A12" s="63" t="s">
        <v>366</v>
      </c>
      <c r="B12" s="157"/>
      <c r="C12" s="157"/>
      <c r="D12" s="157">
        <f t="shared" ref="D12:D18" si="2">B12+C12</f>
        <v>0</v>
      </c>
      <c r="E12" s="157"/>
      <c r="F12" s="157"/>
      <c r="G12" s="157">
        <f t="shared" ref="G12:G18" si="3">D12-E12</f>
        <v>0</v>
      </c>
    </row>
    <row r="13" spans="1:7" x14ac:dyDescent="0.25">
      <c r="A13" s="63" t="s">
        <v>367</v>
      </c>
      <c r="B13" s="157"/>
      <c r="C13" s="157"/>
      <c r="D13" s="157">
        <f t="shared" si="2"/>
        <v>0</v>
      </c>
      <c r="E13" s="157"/>
      <c r="F13" s="157"/>
      <c r="G13" s="157">
        <f t="shared" si="3"/>
        <v>0</v>
      </c>
    </row>
    <row r="14" spans="1:7" x14ac:dyDescent="0.25">
      <c r="A14" s="63" t="s">
        <v>368</v>
      </c>
      <c r="B14" s="157"/>
      <c r="C14" s="157"/>
      <c r="D14" s="157">
        <f t="shared" si="2"/>
        <v>0</v>
      </c>
      <c r="E14" s="157"/>
      <c r="F14" s="157"/>
      <c r="G14" s="157">
        <f t="shared" si="3"/>
        <v>0</v>
      </c>
    </row>
    <row r="15" spans="1:7" x14ac:dyDescent="0.25">
      <c r="A15" s="63" t="s">
        <v>369</v>
      </c>
      <c r="B15" s="157"/>
      <c r="C15" s="157"/>
      <c r="D15" s="157">
        <f t="shared" si="2"/>
        <v>0</v>
      </c>
      <c r="E15" s="157"/>
      <c r="F15" s="157"/>
      <c r="G15" s="157">
        <f t="shared" si="3"/>
        <v>0</v>
      </c>
    </row>
    <row r="16" spans="1:7" x14ac:dyDescent="0.25">
      <c r="A16" s="63" t="s">
        <v>370</v>
      </c>
      <c r="B16" s="157"/>
      <c r="C16" s="157"/>
      <c r="D16" s="157">
        <f t="shared" si="2"/>
        <v>0</v>
      </c>
      <c r="E16" s="157"/>
      <c r="F16" s="157"/>
      <c r="G16" s="157">
        <f t="shared" si="3"/>
        <v>0</v>
      </c>
    </row>
    <row r="17" spans="1:7" x14ac:dyDescent="0.25">
      <c r="A17" s="63" t="s">
        <v>371</v>
      </c>
      <c r="B17" s="157"/>
      <c r="C17" s="157"/>
      <c r="D17" s="157">
        <f t="shared" si="2"/>
        <v>0</v>
      </c>
      <c r="E17" s="157"/>
      <c r="F17" s="157"/>
      <c r="G17" s="157">
        <f t="shared" si="3"/>
        <v>0</v>
      </c>
    </row>
    <row r="18" spans="1:7" x14ac:dyDescent="0.25">
      <c r="A18" s="63" t="s">
        <v>372</v>
      </c>
      <c r="B18" s="157"/>
      <c r="C18" s="157"/>
      <c r="D18" s="157">
        <f t="shared" si="2"/>
        <v>0</v>
      </c>
      <c r="E18" s="157"/>
      <c r="F18" s="157"/>
      <c r="G18" s="157">
        <f t="shared" si="3"/>
        <v>0</v>
      </c>
    </row>
    <row r="19" spans="1:7" x14ac:dyDescent="0.25">
      <c r="A19" s="53" t="s">
        <v>373</v>
      </c>
      <c r="B19" s="71">
        <f>SUM(B20:B26)</f>
        <v>4388232.4000000004</v>
      </c>
      <c r="C19" s="71">
        <f t="shared" ref="C19:F19" si="4">SUM(C20:C26)</f>
        <v>4072374</v>
      </c>
      <c r="D19" s="71">
        <f t="shared" si="4"/>
        <v>8460606.4000000004</v>
      </c>
      <c r="E19" s="71">
        <f t="shared" si="4"/>
        <v>7165701.4699999997</v>
      </c>
      <c r="F19" s="71">
        <f t="shared" si="4"/>
        <v>4717982.3099999996</v>
      </c>
      <c r="G19" s="71">
        <f>SUM(G20:G26)</f>
        <v>1294904.93</v>
      </c>
    </row>
    <row r="20" spans="1:7" x14ac:dyDescent="0.25">
      <c r="A20" s="63" t="s">
        <v>374</v>
      </c>
      <c r="B20" s="157"/>
      <c r="C20" s="157"/>
      <c r="D20" s="157" t="s">
        <v>3303</v>
      </c>
      <c r="E20" s="157"/>
      <c r="F20" s="157"/>
      <c r="G20" s="157" t="s">
        <v>3303</v>
      </c>
    </row>
    <row r="21" spans="1:7" x14ac:dyDescent="0.25">
      <c r="A21" s="63" t="s">
        <v>375</v>
      </c>
      <c r="B21" s="158">
        <v>4388232.4000000004</v>
      </c>
      <c r="C21" s="158">
        <v>4072374</v>
      </c>
      <c r="D21" s="157">
        <v>8460606.4000000004</v>
      </c>
      <c r="E21" s="158">
        <v>7165701.4699999997</v>
      </c>
      <c r="F21" s="158">
        <v>4717982.3099999996</v>
      </c>
      <c r="G21" s="157">
        <v>1294904.93</v>
      </c>
    </row>
    <row r="22" spans="1:7" x14ac:dyDescent="0.25">
      <c r="A22" s="63" t="s">
        <v>376</v>
      </c>
      <c r="B22" s="157"/>
      <c r="C22" s="157"/>
      <c r="D22" s="157">
        <f t="shared" ref="D22:D26" si="5">B22+C22</f>
        <v>0</v>
      </c>
      <c r="E22" s="157"/>
      <c r="F22" s="157"/>
      <c r="G22" s="157">
        <f t="shared" ref="G22:G26" si="6">D22-E22</f>
        <v>0</v>
      </c>
    </row>
    <row r="23" spans="1:7" x14ac:dyDescent="0.25">
      <c r="A23" s="63" t="s">
        <v>377</v>
      </c>
      <c r="B23" s="157"/>
      <c r="C23" s="157"/>
      <c r="D23" s="157">
        <f t="shared" si="5"/>
        <v>0</v>
      </c>
      <c r="E23" s="157"/>
      <c r="F23" s="157"/>
      <c r="G23" s="157">
        <f t="shared" si="6"/>
        <v>0</v>
      </c>
    </row>
    <row r="24" spans="1:7" x14ac:dyDescent="0.25">
      <c r="A24" s="63" t="s">
        <v>378</v>
      </c>
      <c r="B24" s="157"/>
      <c r="C24" s="157"/>
      <c r="D24" s="157">
        <f t="shared" si="5"/>
        <v>0</v>
      </c>
      <c r="E24" s="157"/>
      <c r="F24" s="157"/>
      <c r="G24" s="157">
        <f t="shared" si="6"/>
        <v>0</v>
      </c>
    </row>
    <row r="25" spans="1:7" x14ac:dyDescent="0.25">
      <c r="A25" s="63" t="s">
        <v>379</v>
      </c>
      <c r="B25" s="157"/>
      <c r="C25" s="157"/>
      <c r="D25" s="157">
        <f t="shared" si="5"/>
        <v>0</v>
      </c>
      <c r="E25" s="157"/>
      <c r="F25" s="157"/>
      <c r="G25" s="157">
        <f t="shared" si="6"/>
        <v>0</v>
      </c>
    </row>
    <row r="26" spans="1:7" x14ac:dyDescent="0.25">
      <c r="A26" s="63" t="s">
        <v>380</v>
      </c>
      <c r="B26" s="157"/>
      <c r="C26" s="157"/>
      <c r="D26" s="157">
        <f t="shared" si="5"/>
        <v>0</v>
      </c>
      <c r="E26" s="157"/>
      <c r="F26" s="157"/>
      <c r="G26" s="157">
        <f t="shared" si="6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7">SUM(C28:C36)</f>
        <v>0</v>
      </c>
      <c r="D27" s="71">
        <f t="shared" si="7"/>
        <v>0</v>
      </c>
      <c r="E27" s="71">
        <f t="shared" si="7"/>
        <v>0</v>
      </c>
      <c r="F27" s="71">
        <f t="shared" si="7"/>
        <v>0</v>
      </c>
      <c r="G27" s="71">
        <f>SUM(G28:G36)</f>
        <v>0</v>
      </c>
    </row>
    <row r="28" spans="1:7" x14ac:dyDescent="0.25">
      <c r="A28" s="69" t="s">
        <v>382</v>
      </c>
      <c r="B28" s="157"/>
      <c r="C28" s="157"/>
      <c r="D28" s="157">
        <f t="shared" ref="D28:D36" si="8">B28+C28</f>
        <v>0</v>
      </c>
      <c r="E28" s="157"/>
      <c r="F28" s="157"/>
      <c r="G28" s="157">
        <f t="shared" ref="G28:G36" si="9">D28-E28</f>
        <v>0</v>
      </c>
    </row>
    <row r="29" spans="1:7" x14ac:dyDescent="0.25">
      <c r="A29" s="63" t="s">
        <v>383</v>
      </c>
      <c r="B29" s="157"/>
      <c r="C29" s="157"/>
      <c r="D29" s="157">
        <f t="shared" si="8"/>
        <v>0</v>
      </c>
      <c r="E29" s="157"/>
      <c r="F29" s="157"/>
      <c r="G29" s="157">
        <f t="shared" si="9"/>
        <v>0</v>
      </c>
    </row>
    <row r="30" spans="1:7" x14ac:dyDescent="0.25">
      <c r="A30" s="63" t="s">
        <v>384</v>
      </c>
      <c r="B30" s="157"/>
      <c r="C30" s="157"/>
      <c r="D30" s="157">
        <f t="shared" si="8"/>
        <v>0</v>
      </c>
      <c r="E30" s="157"/>
      <c r="F30" s="157"/>
      <c r="G30" s="157">
        <f t="shared" si="9"/>
        <v>0</v>
      </c>
    </row>
    <row r="31" spans="1:7" x14ac:dyDescent="0.25">
      <c r="A31" s="63" t="s">
        <v>385</v>
      </c>
      <c r="B31" s="157"/>
      <c r="C31" s="157"/>
      <c r="D31" s="157">
        <f t="shared" si="8"/>
        <v>0</v>
      </c>
      <c r="E31" s="157"/>
      <c r="F31" s="157"/>
      <c r="G31" s="157">
        <f t="shared" si="9"/>
        <v>0</v>
      </c>
    </row>
    <row r="32" spans="1:7" x14ac:dyDescent="0.25">
      <c r="A32" s="63" t="s">
        <v>386</v>
      </c>
      <c r="B32" s="157"/>
      <c r="C32" s="157"/>
      <c r="D32" s="157">
        <f t="shared" si="8"/>
        <v>0</v>
      </c>
      <c r="E32" s="157"/>
      <c r="F32" s="157"/>
      <c r="G32" s="157">
        <f t="shared" si="9"/>
        <v>0</v>
      </c>
    </row>
    <row r="33" spans="1:7" x14ac:dyDescent="0.25">
      <c r="A33" s="63" t="s">
        <v>387</v>
      </c>
      <c r="B33" s="157"/>
      <c r="C33" s="157"/>
      <c r="D33" s="157">
        <f t="shared" si="8"/>
        <v>0</v>
      </c>
      <c r="E33" s="157"/>
      <c r="F33" s="157"/>
      <c r="G33" s="157">
        <f t="shared" si="9"/>
        <v>0</v>
      </c>
    </row>
    <row r="34" spans="1:7" x14ac:dyDescent="0.25">
      <c r="A34" s="63" t="s">
        <v>388</v>
      </c>
      <c r="B34" s="157"/>
      <c r="C34" s="157"/>
      <c r="D34" s="157">
        <f t="shared" si="8"/>
        <v>0</v>
      </c>
      <c r="E34" s="157"/>
      <c r="F34" s="157"/>
      <c r="G34" s="157">
        <f t="shared" si="9"/>
        <v>0</v>
      </c>
    </row>
    <row r="35" spans="1:7" x14ac:dyDescent="0.25">
      <c r="A35" s="63" t="s">
        <v>389</v>
      </c>
      <c r="B35" s="157"/>
      <c r="C35" s="157"/>
      <c r="D35" s="157">
        <f t="shared" si="8"/>
        <v>0</v>
      </c>
      <c r="E35" s="157"/>
      <c r="F35" s="157"/>
      <c r="G35" s="157">
        <f t="shared" si="9"/>
        <v>0</v>
      </c>
    </row>
    <row r="36" spans="1:7" x14ac:dyDescent="0.25">
      <c r="A36" s="63" t="s">
        <v>390</v>
      </c>
      <c r="B36" s="157"/>
      <c r="C36" s="157"/>
      <c r="D36" s="157">
        <f t="shared" si="8"/>
        <v>0</v>
      </c>
      <c r="E36" s="157"/>
      <c r="F36" s="157"/>
      <c r="G36" s="157">
        <f t="shared" si="9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10">SUM(C38:C41)</f>
        <v>0</v>
      </c>
      <c r="D37" s="71">
        <f t="shared" si="10"/>
        <v>0</v>
      </c>
      <c r="E37" s="71">
        <f t="shared" si="10"/>
        <v>0</v>
      </c>
      <c r="F37" s="71">
        <f t="shared" si="10"/>
        <v>0</v>
      </c>
      <c r="G37" s="71">
        <f>SUM(G38:G41)</f>
        <v>0</v>
      </c>
    </row>
    <row r="38" spans="1:7" x14ac:dyDescent="0.25">
      <c r="A38" s="69" t="s">
        <v>391</v>
      </c>
      <c r="B38" s="157"/>
      <c r="C38" s="157"/>
      <c r="D38" s="157">
        <f t="shared" ref="D38:D41" si="11">B38+C38</f>
        <v>0</v>
      </c>
      <c r="E38" s="157"/>
      <c r="F38" s="157"/>
      <c r="G38" s="157">
        <f t="shared" ref="G38:G41" si="12">D38-E38</f>
        <v>0</v>
      </c>
    </row>
    <row r="39" spans="1:7" ht="30" x14ac:dyDescent="0.25">
      <c r="A39" s="69" t="s">
        <v>392</v>
      </c>
      <c r="B39" s="157"/>
      <c r="C39" s="157"/>
      <c r="D39" s="157">
        <f t="shared" si="11"/>
        <v>0</v>
      </c>
      <c r="E39" s="157"/>
      <c r="F39" s="157"/>
      <c r="G39" s="157">
        <f t="shared" si="12"/>
        <v>0</v>
      </c>
    </row>
    <row r="40" spans="1:7" x14ac:dyDescent="0.25">
      <c r="A40" s="69" t="s">
        <v>393</v>
      </c>
      <c r="B40" s="157"/>
      <c r="C40" s="157"/>
      <c r="D40" s="157">
        <f t="shared" si="11"/>
        <v>0</v>
      </c>
      <c r="E40" s="157"/>
      <c r="F40" s="157"/>
      <c r="G40" s="157">
        <f t="shared" si="12"/>
        <v>0</v>
      </c>
    </row>
    <row r="41" spans="1:7" x14ac:dyDescent="0.25">
      <c r="A41" s="69" t="s">
        <v>394</v>
      </c>
      <c r="B41" s="157"/>
      <c r="C41" s="157"/>
      <c r="D41" s="157">
        <f t="shared" si="11"/>
        <v>0</v>
      </c>
      <c r="E41" s="157"/>
      <c r="F41" s="157"/>
      <c r="G41" s="157">
        <f t="shared" si="12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13249888.83</v>
      </c>
      <c r="C43" s="73">
        <f t="shared" ref="C43:G43" si="13">SUM(C44,C53,C61,C71)</f>
        <v>2000000</v>
      </c>
      <c r="D43" s="73">
        <f t="shared" si="13"/>
        <v>15249888.83</v>
      </c>
      <c r="E43" s="73">
        <f t="shared" si="13"/>
        <v>3227994.13</v>
      </c>
      <c r="F43" s="73">
        <f t="shared" si="13"/>
        <v>1229055.83</v>
      </c>
      <c r="G43" s="73">
        <f t="shared" si="13"/>
        <v>12021894.699999999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4">SUM(C45:C52)</f>
        <v>0</v>
      </c>
      <c r="D44" s="72">
        <f t="shared" si="14"/>
        <v>0</v>
      </c>
      <c r="E44" s="72">
        <f t="shared" si="14"/>
        <v>0</v>
      </c>
      <c r="F44" s="72">
        <f t="shared" si="14"/>
        <v>0</v>
      </c>
      <c r="G44" s="72">
        <f t="shared" si="14"/>
        <v>0</v>
      </c>
    </row>
    <row r="45" spans="1:7" x14ac:dyDescent="0.25">
      <c r="A45" s="69" t="s">
        <v>365</v>
      </c>
      <c r="B45" s="157"/>
      <c r="C45" s="157"/>
      <c r="D45" s="157">
        <f t="shared" ref="D45:D52" si="15">B45+C45</f>
        <v>0</v>
      </c>
      <c r="E45" s="157"/>
      <c r="F45" s="157"/>
      <c r="G45" s="157">
        <f t="shared" ref="G45:G52" si="16">D45-E45</f>
        <v>0</v>
      </c>
    </row>
    <row r="46" spans="1:7" x14ac:dyDescent="0.25">
      <c r="A46" s="69" t="s">
        <v>366</v>
      </c>
      <c r="B46" s="157"/>
      <c r="C46" s="157"/>
      <c r="D46" s="157">
        <f t="shared" si="15"/>
        <v>0</v>
      </c>
      <c r="E46" s="157"/>
      <c r="F46" s="157"/>
      <c r="G46" s="157">
        <f t="shared" si="16"/>
        <v>0</v>
      </c>
    </row>
    <row r="47" spans="1:7" x14ac:dyDescent="0.25">
      <c r="A47" s="69" t="s">
        <v>367</v>
      </c>
      <c r="B47" s="157"/>
      <c r="C47" s="157"/>
      <c r="D47" s="157">
        <f t="shared" si="15"/>
        <v>0</v>
      </c>
      <c r="E47" s="157"/>
      <c r="F47" s="157"/>
      <c r="G47" s="157">
        <f t="shared" si="16"/>
        <v>0</v>
      </c>
    </row>
    <row r="48" spans="1:7" x14ac:dyDescent="0.25">
      <c r="A48" s="69" t="s">
        <v>368</v>
      </c>
      <c r="B48" s="157"/>
      <c r="C48" s="157"/>
      <c r="D48" s="157">
        <f t="shared" si="15"/>
        <v>0</v>
      </c>
      <c r="E48" s="157"/>
      <c r="F48" s="157"/>
      <c r="G48" s="157">
        <f t="shared" si="16"/>
        <v>0</v>
      </c>
    </row>
    <row r="49" spans="1:7" x14ac:dyDescent="0.25">
      <c r="A49" s="69" t="s">
        <v>369</v>
      </c>
      <c r="B49" s="157"/>
      <c r="C49" s="157"/>
      <c r="D49" s="157">
        <f t="shared" si="15"/>
        <v>0</v>
      </c>
      <c r="E49" s="157"/>
      <c r="F49" s="157"/>
      <c r="G49" s="157">
        <f t="shared" si="16"/>
        <v>0</v>
      </c>
    </row>
    <row r="50" spans="1:7" x14ac:dyDescent="0.25">
      <c r="A50" s="69" t="s">
        <v>370</v>
      </c>
      <c r="B50" s="157"/>
      <c r="C50" s="157"/>
      <c r="D50" s="157">
        <f t="shared" si="15"/>
        <v>0</v>
      </c>
      <c r="E50" s="157"/>
      <c r="F50" s="157"/>
      <c r="G50" s="157">
        <f t="shared" si="16"/>
        <v>0</v>
      </c>
    </row>
    <row r="51" spans="1:7" x14ac:dyDescent="0.25">
      <c r="A51" s="69" t="s">
        <v>371</v>
      </c>
      <c r="B51" s="157"/>
      <c r="C51" s="157"/>
      <c r="D51" s="157">
        <f t="shared" si="15"/>
        <v>0</v>
      </c>
      <c r="E51" s="157"/>
      <c r="F51" s="157"/>
      <c r="G51" s="157">
        <f t="shared" si="16"/>
        <v>0</v>
      </c>
    </row>
    <row r="52" spans="1:7" x14ac:dyDescent="0.25">
      <c r="A52" s="69" t="s">
        <v>372</v>
      </c>
      <c r="B52" s="157"/>
      <c r="C52" s="157"/>
      <c r="D52" s="157">
        <f t="shared" si="15"/>
        <v>0</v>
      </c>
      <c r="E52" s="157"/>
      <c r="F52" s="157"/>
      <c r="G52" s="157">
        <f t="shared" si="16"/>
        <v>0</v>
      </c>
    </row>
    <row r="53" spans="1:7" x14ac:dyDescent="0.25">
      <c r="A53" s="53" t="s">
        <v>373</v>
      </c>
      <c r="B53" s="71">
        <f>SUM(B54:B60)</f>
        <v>13249888.83</v>
      </c>
      <c r="C53" s="71">
        <f t="shared" ref="C53:G53" si="17">SUM(C54:C60)</f>
        <v>2000000</v>
      </c>
      <c r="D53" s="71">
        <f t="shared" si="17"/>
        <v>15249888.83</v>
      </c>
      <c r="E53" s="71">
        <f t="shared" si="17"/>
        <v>3227994.13</v>
      </c>
      <c r="F53" s="71">
        <f t="shared" si="17"/>
        <v>1229055.83</v>
      </c>
      <c r="G53" s="71">
        <f t="shared" si="17"/>
        <v>12021894.699999999</v>
      </c>
    </row>
    <row r="54" spans="1:7" x14ac:dyDescent="0.25">
      <c r="A54" s="69" t="s">
        <v>374</v>
      </c>
      <c r="B54" s="157"/>
      <c r="C54" s="157"/>
      <c r="D54" s="157" t="s">
        <v>3303</v>
      </c>
      <c r="E54" s="157"/>
      <c r="F54" s="157"/>
      <c r="G54" s="157" t="s">
        <v>3303</v>
      </c>
    </row>
    <row r="55" spans="1:7" x14ac:dyDescent="0.25">
      <c r="A55" s="69" t="s">
        <v>375</v>
      </c>
      <c r="B55" s="158">
        <v>13249888.83</v>
      </c>
      <c r="C55" s="158">
        <v>2000000</v>
      </c>
      <c r="D55" s="157">
        <v>15249888.83</v>
      </c>
      <c r="E55" s="158">
        <v>3227994.13</v>
      </c>
      <c r="F55" s="158">
        <v>1229055.83</v>
      </c>
      <c r="G55" s="157">
        <v>12021894.699999999</v>
      </c>
    </row>
    <row r="56" spans="1:7" x14ac:dyDescent="0.25">
      <c r="A56" s="69" t="s">
        <v>376</v>
      </c>
      <c r="B56" s="157"/>
      <c r="C56" s="157"/>
      <c r="D56" s="157">
        <f t="shared" ref="D56:D60" si="18">B56+C56</f>
        <v>0</v>
      </c>
      <c r="E56" s="157"/>
      <c r="F56" s="157"/>
      <c r="G56" s="157">
        <f t="shared" ref="G56:G60" si="19">D56-E56</f>
        <v>0</v>
      </c>
    </row>
    <row r="57" spans="1:7" x14ac:dyDescent="0.25">
      <c r="A57" s="48" t="s">
        <v>377</v>
      </c>
      <c r="B57" s="157"/>
      <c r="C57" s="157"/>
      <c r="D57" s="157">
        <f t="shared" si="18"/>
        <v>0</v>
      </c>
      <c r="E57" s="157"/>
      <c r="F57" s="157"/>
      <c r="G57" s="157">
        <f t="shared" si="19"/>
        <v>0</v>
      </c>
    </row>
    <row r="58" spans="1:7" x14ac:dyDescent="0.25">
      <c r="A58" s="69" t="s">
        <v>378</v>
      </c>
      <c r="B58" s="157"/>
      <c r="C58" s="157"/>
      <c r="D58" s="157">
        <f t="shared" si="18"/>
        <v>0</v>
      </c>
      <c r="E58" s="157"/>
      <c r="F58" s="157"/>
      <c r="G58" s="157">
        <f t="shared" si="19"/>
        <v>0</v>
      </c>
    </row>
    <row r="59" spans="1:7" x14ac:dyDescent="0.25">
      <c r="A59" s="69" t="s">
        <v>379</v>
      </c>
      <c r="B59" s="157"/>
      <c r="C59" s="157"/>
      <c r="D59" s="157">
        <f t="shared" si="18"/>
        <v>0</v>
      </c>
      <c r="E59" s="157"/>
      <c r="F59" s="157"/>
      <c r="G59" s="157">
        <f t="shared" si="19"/>
        <v>0</v>
      </c>
    </row>
    <row r="60" spans="1:7" x14ac:dyDescent="0.25">
      <c r="A60" s="69" t="s">
        <v>380</v>
      </c>
      <c r="B60" s="157"/>
      <c r="C60" s="157"/>
      <c r="D60" s="157">
        <f t="shared" si="18"/>
        <v>0</v>
      </c>
      <c r="E60" s="157"/>
      <c r="F60" s="157"/>
      <c r="G60" s="157">
        <f t="shared" si="19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20">SUM(C62:C70)</f>
        <v>0</v>
      </c>
      <c r="D61" s="71">
        <f t="shared" si="20"/>
        <v>0</v>
      </c>
      <c r="E61" s="71">
        <f t="shared" si="20"/>
        <v>0</v>
      </c>
      <c r="F61" s="71">
        <f t="shared" si="20"/>
        <v>0</v>
      </c>
      <c r="G61" s="71">
        <f t="shared" si="20"/>
        <v>0</v>
      </c>
    </row>
    <row r="62" spans="1:7" x14ac:dyDescent="0.25">
      <c r="A62" s="69" t="s">
        <v>382</v>
      </c>
      <c r="B62" s="157"/>
      <c r="C62" s="157"/>
      <c r="D62" s="157">
        <f t="shared" ref="D62:D70" si="21">B62+C62</f>
        <v>0</v>
      </c>
      <c r="E62" s="157"/>
      <c r="F62" s="157"/>
      <c r="G62" s="157">
        <f t="shared" ref="G62:G70" si="22">D62-E62</f>
        <v>0</v>
      </c>
    </row>
    <row r="63" spans="1:7" x14ac:dyDescent="0.25">
      <c r="A63" s="69" t="s">
        <v>383</v>
      </c>
      <c r="B63" s="157"/>
      <c r="C63" s="157"/>
      <c r="D63" s="157">
        <f t="shared" si="21"/>
        <v>0</v>
      </c>
      <c r="E63" s="157"/>
      <c r="F63" s="157"/>
      <c r="G63" s="157">
        <f t="shared" si="22"/>
        <v>0</v>
      </c>
    </row>
    <row r="64" spans="1:7" x14ac:dyDescent="0.25">
      <c r="A64" s="69" t="s">
        <v>384</v>
      </c>
      <c r="B64" s="157"/>
      <c r="C64" s="157"/>
      <c r="D64" s="157">
        <f t="shared" si="21"/>
        <v>0</v>
      </c>
      <c r="E64" s="157"/>
      <c r="F64" s="157"/>
      <c r="G64" s="157">
        <f t="shared" si="22"/>
        <v>0</v>
      </c>
    </row>
    <row r="65" spans="1:8" x14ac:dyDescent="0.25">
      <c r="A65" s="69" t="s">
        <v>385</v>
      </c>
      <c r="B65" s="157"/>
      <c r="C65" s="157"/>
      <c r="D65" s="157">
        <f t="shared" si="21"/>
        <v>0</v>
      </c>
      <c r="E65" s="157"/>
      <c r="F65" s="157"/>
      <c r="G65" s="157">
        <f t="shared" si="22"/>
        <v>0</v>
      </c>
    </row>
    <row r="66" spans="1:8" x14ac:dyDescent="0.25">
      <c r="A66" s="69" t="s">
        <v>386</v>
      </c>
      <c r="B66" s="157"/>
      <c r="C66" s="157"/>
      <c r="D66" s="157">
        <f t="shared" si="21"/>
        <v>0</v>
      </c>
      <c r="E66" s="157"/>
      <c r="F66" s="157"/>
      <c r="G66" s="157">
        <f t="shared" si="22"/>
        <v>0</v>
      </c>
    </row>
    <row r="67" spans="1:8" x14ac:dyDescent="0.25">
      <c r="A67" s="69" t="s">
        <v>387</v>
      </c>
      <c r="B67" s="157"/>
      <c r="C67" s="157"/>
      <c r="D67" s="157">
        <f t="shared" si="21"/>
        <v>0</v>
      </c>
      <c r="E67" s="157"/>
      <c r="F67" s="157"/>
      <c r="G67" s="157">
        <f t="shared" si="22"/>
        <v>0</v>
      </c>
    </row>
    <row r="68" spans="1:8" x14ac:dyDescent="0.25">
      <c r="A68" s="69" t="s">
        <v>388</v>
      </c>
      <c r="B68" s="157"/>
      <c r="C68" s="157"/>
      <c r="D68" s="157">
        <f t="shared" si="21"/>
        <v>0</v>
      </c>
      <c r="E68" s="157"/>
      <c r="F68" s="157"/>
      <c r="G68" s="157">
        <f t="shared" si="22"/>
        <v>0</v>
      </c>
    </row>
    <row r="69" spans="1:8" x14ac:dyDescent="0.25">
      <c r="A69" s="69" t="s">
        <v>389</v>
      </c>
      <c r="B69" s="157"/>
      <c r="C69" s="157"/>
      <c r="D69" s="157">
        <f t="shared" si="21"/>
        <v>0</v>
      </c>
      <c r="E69" s="157"/>
      <c r="F69" s="157"/>
      <c r="G69" s="157">
        <f t="shared" si="22"/>
        <v>0</v>
      </c>
    </row>
    <row r="70" spans="1:8" x14ac:dyDescent="0.25">
      <c r="A70" s="69" t="s">
        <v>390</v>
      </c>
      <c r="B70" s="157"/>
      <c r="C70" s="157"/>
      <c r="D70" s="157">
        <f t="shared" si="21"/>
        <v>0</v>
      </c>
      <c r="E70" s="157"/>
      <c r="F70" s="157"/>
      <c r="G70" s="157">
        <f t="shared" si="22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23">SUM(C72:C75)</f>
        <v>0</v>
      </c>
      <c r="D71" s="74">
        <f t="shared" si="23"/>
        <v>0</v>
      </c>
      <c r="E71" s="74">
        <f t="shared" si="23"/>
        <v>0</v>
      </c>
      <c r="F71" s="74">
        <f t="shared" si="23"/>
        <v>0</v>
      </c>
      <c r="G71" s="74">
        <f>SUM(G72:G75)</f>
        <v>0</v>
      </c>
    </row>
    <row r="72" spans="1:8" x14ac:dyDescent="0.25">
      <c r="A72" s="69" t="s">
        <v>391</v>
      </c>
      <c r="B72" s="157"/>
      <c r="C72" s="157"/>
      <c r="D72" s="157">
        <f t="shared" ref="D72:D75" si="24">B72+C72</f>
        <v>0</v>
      </c>
      <c r="E72" s="157"/>
      <c r="F72" s="157"/>
      <c r="G72" s="157">
        <f t="shared" ref="G72:G75" si="25">D72-E72</f>
        <v>0</v>
      </c>
    </row>
    <row r="73" spans="1:8" ht="30" x14ac:dyDescent="0.25">
      <c r="A73" s="69" t="s">
        <v>392</v>
      </c>
      <c r="B73" s="157"/>
      <c r="C73" s="157"/>
      <c r="D73" s="157">
        <f t="shared" si="24"/>
        <v>0</v>
      </c>
      <c r="E73" s="157"/>
      <c r="F73" s="157"/>
      <c r="G73" s="157">
        <f t="shared" si="25"/>
        <v>0</v>
      </c>
    </row>
    <row r="74" spans="1:8" x14ac:dyDescent="0.25">
      <c r="A74" s="69" t="s">
        <v>393</v>
      </c>
      <c r="B74" s="157"/>
      <c r="C74" s="157"/>
      <c r="D74" s="157">
        <f t="shared" si="24"/>
        <v>0</v>
      </c>
      <c r="E74" s="157"/>
      <c r="F74" s="157"/>
      <c r="G74" s="157">
        <f t="shared" si="25"/>
        <v>0</v>
      </c>
    </row>
    <row r="75" spans="1:8" x14ac:dyDescent="0.25">
      <c r="A75" s="69" t="s">
        <v>394</v>
      </c>
      <c r="B75" s="157"/>
      <c r="C75" s="157"/>
      <c r="D75" s="157">
        <f t="shared" si="24"/>
        <v>0</v>
      </c>
      <c r="E75" s="157"/>
      <c r="F75" s="157"/>
      <c r="G75" s="157">
        <f t="shared" si="25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17638121.23</v>
      </c>
      <c r="C77" s="73">
        <f t="shared" ref="C77:F77" si="26">C43+C9</f>
        <v>6072374</v>
      </c>
      <c r="D77" s="73">
        <f t="shared" si="26"/>
        <v>23710495.23</v>
      </c>
      <c r="E77" s="73">
        <f t="shared" si="26"/>
        <v>10393695.6</v>
      </c>
      <c r="F77" s="73">
        <f t="shared" si="26"/>
        <v>5947038.1399999997</v>
      </c>
      <c r="G77" s="73">
        <f>G43+G9</f>
        <v>13316799.629999999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4388232.4000000004</v>
      </c>
      <c r="Q2" s="18">
        <f>'Formato 6 c)'!C9</f>
        <v>4072374</v>
      </c>
      <c r="R2" s="18">
        <f>'Formato 6 c)'!D9</f>
        <v>8460606.4000000004</v>
      </c>
      <c r="S2" s="18">
        <f>'Formato 6 c)'!E9</f>
        <v>7165701.4699999997</v>
      </c>
      <c r="T2" s="18">
        <f>'Formato 6 c)'!F9</f>
        <v>4717982.3099999996</v>
      </c>
      <c r="U2" s="18">
        <f>'Formato 6 c)'!G9</f>
        <v>1294904.93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4388232.4000000004</v>
      </c>
      <c r="Q12" s="18">
        <f>'Formato 6 c)'!C19</f>
        <v>4072374</v>
      </c>
      <c r="R12" s="18">
        <f>'Formato 6 c)'!D19</f>
        <v>8460606.4000000004</v>
      </c>
      <c r="S12" s="18">
        <f>'Formato 6 c)'!E19</f>
        <v>7165701.4699999997</v>
      </c>
      <c r="T12" s="18">
        <f>'Formato 6 c)'!F19</f>
        <v>4717982.3099999996</v>
      </c>
      <c r="U12" s="18">
        <f>'Formato 6 c)'!G19</f>
        <v>1294904.93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 t="str">
        <f>'Formato 6 c)'!D20</f>
        <v xml:space="preserve"> -   </v>
      </c>
      <c r="S13" s="18">
        <f>'Formato 6 c)'!E20</f>
        <v>0</v>
      </c>
      <c r="T13" s="18">
        <f>'Formato 6 c)'!F20</f>
        <v>0</v>
      </c>
      <c r="U13" s="18" t="str">
        <f>'Formato 6 c)'!G20</f>
        <v xml:space="preserve"> -   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4388232.4000000004</v>
      </c>
      <c r="Q14" s="18">
        <f>'Formato 6 c)'!C21</f>
        <v>4072374</v>
      </c>
      <c r="R14" s="18">
        <f>'Formato 6 c)'!D21</f>
        <v>8460606.4000000004</v>
      </c>
      <c r="S14" s="18">
        <f>'Formato 6 c)'!E21</f>
        <v>7165701.4699999997</v>
      </c>
      <c r="T14" s="18">
        <f>'Formato 6 c)'!F21</f>
        <v>4717982.3099999996</v>
      </c>
      <c r="U14" s="18">
        <f>'Formato 6 c)'!G21</f>
        <v>1294904.93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ht="14.25" x14ac:dyDescent="0.4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13249888.83</v>
      </c>
      <c r="Q35" s="18">
        <f>'Formato 6 c)'!C43</f>
        <v>2000000</v>
      </c>
      <c r="R35" s="18">
        <f>'Formato 6 c)'!D43</f>
        <v>15249888.83</v>
      </c>
      <c r="S35" s="18">
        <f>'Formato 6 c)'!E43</f>
        <v>3227994.13</v>
      </c>
      <c r="T35" s="18">
        <f>'Formato 6 c)'!F43</f>
        <v>1229055.83</v>
      </c>
      <c r="U35" s="18">
        <f>'Formato 6 c)'!G43</f>
        <v>12021894.699999999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13249888.83</v>
      </c>
      <c r="Q45" s="18">
        <f>'Formato 6 c)'!C53</f>
        <v>2000000</v>
      </c>
      <c r="R45" s="18">
        <f>'Formato 6 c)'!D53</f>
        <v>15249888.83</v>
      </c>
      <c r="S45" s="18">
        <f>'Formato 6 c)'!E53</f>
        <v>3227994.13</v>
      </c>
      <c r="T45" s="18">
        <f>'Formato 6 c)'!F53</f>
        <v>1229055.83</v>
      </c>
      <c r="U45" s="18">
        <f>'Formato 6 c)'!G53</f>
        <v>12021894.699999999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 t="str">
        <f>'Formato 6 c)'!D54</f>
        <v xml:space="preserve"> -   </v>
      </c>
      <c r="S46" s="18">
        <f>'Formato 6 c)'!E54</f>
        <v>0</v>
      </c>
      <c r="T46" s="18">
        <f>'Formato 6 c)'!F54</f>
        <v>0</v>
      </c>
      <c r="U46" s="18" t="str">
        <f>'Formato 6 c)'!G54</f>
        <v xml:space="preserve"> -   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13249888.83</v>
      </c>
      <c r="Q47" s="18">
        <f>'Formato 6 c)'!C55</f>
        <v>2000000</v>
      </c>
      <c r="R47" s="18">
        <f>'Formato 6 c)'!D55</f>
        <v>15249888.83</v>
      </c>
      <c r="S47" s="18">
        <f>'Formato 6 c)'!E55</f>
        <v>3227994.13</v>
      </c>
      <c r="T47" s="18">
        <f>'Formato 6 c)'!F55</f>
        <v>1229055.83</v>
      </c>
      <c r="U47" s="18">
        <f>'Formato 6 c)'!G55</f>
        <v>12021894.699999999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17638121.23</v>
      </c>
      <c r="Q68" s="18">
        <f>'Formato 6 c)'!C77</f>
        <v>6072374</v>
      </c>
      <c r="R68" s="18">
        <f>'Formato 6 c)'!D77</f>
        <v>23710495.23</v>
      </c>
      <c r="S68" s="18">
        <f>'Formato 6 c)'!E77</f>
        <v>10393695.6</v>
      </c>
      <c r="T68" s="18">
        <f>'Formato 6 c)'!F77</f>
        <v>5947038.1399999997</v>
      </c>
      <c r="U68" s="18">
        <f>'Formato 6 c)'!G77</f>
        <v>13316799.629999999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INSTITUTO MUNICIPAL DE VIVIENDA DE DOLORES HIDALGO, CIN, GTO., Gobierno del Estado de Guanajuato</v>
      </c>
    </row>
    <row r="7" spans="2:3" ht="14.25" x14ac:dyDescent="0.45">
      <c r="C7" t="str">
        <f>CONCATENATE(ENTE_PUBLICO," (a)")</f>
        <v>INSTITUTO MUNICIPAL DE VIVIENDA DE DOLORES HIDALGO, CIN,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1142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Dolores Hidalgo Cuna de la Independencia Nacional, Gobierno del Estado de Guanajuato</v>
      </c>
    </row>
    <row r="12" spans="2:3" x14ac:dyDescent="0.25">
      <c r="B12" t="s">
        <v>794</v>
      </c>
      <c r="C12" s="24">
        <v>2020</v>
      </c>
    </row>
    <row r="14" spans="2:3" ht="14.25" x14ac:dyDescent="0.45">
      <c r="B14" t="s">
        <v>793</v>
      </c>
      <c r="C14" s="24" t="s">
        <v>3304</v>
      </c>
    </row>
    <row r="15" spans="2:3" ht="14.25" x14ac:dyDescent="0.45">
      <c r="C15" s="24">
        <v>4</v>
      </c>
    </row>
    <row r="16" spans="2:3" ht="14.25" x14ac:dyDescent="0.45">
      <c r="C16" s="24" t="s">
        <v>3305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2020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2020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2020 (m = g – l)</v>
      </c>
    </row>
    <row r="20" spans="4:9" ht="57" x14ac:dyDescent="0.45">
      <c r="D20" s="21" t="str">
        <f>CONCATENATE(ANIO_INFORME, " (d)")</f>
        <v>2020 (d)</v>
      </c>
      <c r="E20" s="22" t="str">
        <f>CONCATENATE("31 de diciembre de ",ANIO_INFORME-1, " (e)")</f>
        <v>31 de diciembre de 2019 (e)</v>
      </c>
      <c r="F20" s="31" t="str">
        <f>CONCATENATE("Saldo al 31 de diciembre de ",ANIO_INFORME-1, " (d)")</f>
        <v>Saldo al 31 de diciembre de 2019 (d)</v>
      </c>
    </row>
    <row r="23" spans="4:9" ht="14.25" x14ac:dyDescent="0.45">
      <c r="D23" s="33">
        <f>ANIO_INFORME + 1</f>
        <v>2021</v>
      </c>
      <c r="E23" s="34" t="str">
        <f>CONCATENATE(ANIO_INFORME + 2, " (d)")</f>
        <v>2022 (d)</v>
      </c>
      <c r="F23" s="34" t="str">
        <f>CONCATENATE(ANIO_INFORME + 3, " (d)")</f>
        <v>2023 (d)</v>
      </c>
      <c r="G23" s="34" t="str">
        <f>CONCATENATE(ANIO_INFORME + 4, " (d)")</f>
        <v>2024 (d)</v>
      </c>
      <c r="H23" s="34" t="str">
        <f>CONCATENATE(ANIO_INFORME + 5, " (d)")</f>
        <v>2025 (d)</v>
      </c>
      <c r="I23" s="34" t="str">
        <f>CONCATENATE(ANIO_INFORME + 6, " (d)")</f>
        <v>2026 (d)</v>
      </c>
    </row>
    <row r="25" spans="4:9" x14ac:dyDescent="0.25">
      <c r="D25" s="35" t="str">
        <f>CONCATENATE(ANIO_INFORME - 5, " ",CHAR(185)," (c)")</f>
        <v>2015 ¹ (c)</v>
      </c>
      <c r="E25" s="35" t="str">
        <f>CONCATENATE(ANIO_INFORME - 4, " ",CHAR(185)," (c)")</f>
        <v>2016 ¹ (c)</v>
      </c>
      <c r="F25" s="35" t="str">
        <f>CONCATENATE(ANIO_INFORME - 3, " ",CHAR(185)," (c)")</f>
        <v>2017 ¹ (c)</v>
      </c>
      <c r="G25" s="35" t="str">
        <f>CONCATENATE(ANIO_INFORME - 2, " ",CHAR(185)," (c)")</f>
        <v>2018 ¹ (c)</v>
      </c>
      <c r="H25" s="35" t="str">
        <f>CONCATENATE(ANIO_INFORME - 1, " ",CHAR(185)," (c)")</f>
        <v>2019 ¹ (c)</v>
      </c>
      <c r="I25" s="33">
        <f>ANIO_INFORME</f>
        <v>2020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40">
        <v>-1.7976931348623099E+100</v>
      </c>
      <c r="E30" s="140">
        <v>1.7976931348623099E+100</v>
      </c>
    </row>
    <row r="32" spans="4:9" ht="14.25" x14ac:dyDescent="0.45">
      <c r="D32" t="s">
        <v>3145</v>
      </c>
      <c r="E32" t="s">
        <v>3146</v>
      </c>
    </row>
    <row r="33" spans="4:5" ht="14.25" x14ac:dyDescent="0.4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topLeftCell="A19" zoomScale="90" zoomScaleNormal="90" workbookViewId="0">
      <selection activeCell="E33" sqref="E33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85" t="s">
        <v>3287</v>
      </c>
      <c r="B1" s="184"/>
      <c r="C1" s="184"/>
      <c r="D1" s="184"/>
      <c r="E1" s="184"/>
      <c r="F1" s="184"/>
      <c r="G1" s="184"/>
    </row>
    <row r="2" spans="1:7" ht="14.25" x14ac:dyDescent="0.45">
      <c r="A2" s="166" t="str">
        <f>ENTE_PUBLICO_A</f>
        <v>INSTITUTO MUNICIPAL DE VIVIENDA DE DOLORES HIDALGO, CIN, GTO., Gobierno del Estado de Guanajuato (a)</v>
      </c>
      <c r="B2" s="167"/>
      <c r="C2" s="167"/>
      <c r="D2" s="167"/>
      <c r="E2" s="167"/>
      <c r="F2" s="167"/>
      <c r="G2" s="168"/>
    </row>
    <row r="3" spans="1:7" x14ac:dyDescent="0.25">
      <c r="A3" s="172" t="s">
        <v>277</v>
      </c>
      <c r="B3" s="173"/>
      <c r="C3" s="173"/>
      <c r="D3" s="173"/>
      <c r="E3" s="173"/>
      <c r="F3" s="173"/>
      <c r="G3" s="174"/>
    </row>
    <row r="4" spans="1:7" x14ac:dyDescent="0.25">
      <c r="A4" s="172" t="s">
        <v>399</v>
      </c>
      <c r="B4" s="173"/>
      <c r="C4" s="173"/>
      <c r="D4" s="173"/>
      <c r="E4" s="173"/>
      <c r="F4" s="173"/>
      <c r="G4" s="174"/>
    </row>
    <row r="5" spans="1:7" ht="14.25" x14ac:dyDescent="0.45">
      <c r="A5" s="172" t="str">
        <f>TRIMESTRE</f>
        <v>Del 1 de enero al 31 de diciembre de 2020 (b)</v>
      </c>
      <c r="B5" s="173"/>
      <c r="C5" s="173"/>
      <c r="D5" s="173"/>
      <c r="E5" s="173"/>
      <c r="F5" s="173"/>
      <c r="G5" s="174"/>
    </row>
    <row r="6" spans="1:7" ht="14.25" x14ac:dyDescent="0.45">
      <c r="A6" s="175" t="s">
        <v>118</v>
      </c>
      <c r="B6" s="176"/>
      <c r="C6" s="176"/>
      <c r="D6" s="176"/>
      <c r="E6" s="176"/>
      <c r="F6" s="176"/>
      <c r="G6" s="177"/>
    </row>
    <row r="7" spans="1:7" x14ac:dyDescent="0.25">
      <c r="A7" s="181" t="s">
        <v>361</v>
      </c>
      <c r="B7" s="186" t="s">
        <v>279</v>
      </c>
      <c r="C7" s="186"/>
      <c r="D7" s="186"/>
      <c r="E7" s="186"/>
      <c r="F7" s="186"/>
      <c r="G7" s="186" t="s">
        <v>280</v>
      </c>
    </row>
    <row r="8" spans="1:7" ht="29.25" customHeight="1" x14ac:dyDescent="0.25">
      <c r="A8" s="182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93"/>
    </row>
    <row r="9" spans="1:7" x14ac:dyDescent="0.25">
      <c r="A9" s="52" t="s">
        <v>400</v>
      </c>
      <c r="B9" s="66">
        <f>SUM(B10,B11,B12,B15,B16,B19)</f>
        <v>2633952.5699999998</v>
      </c>
      <c r="C9" s="66">
        <f t="shared" ref="C9:F9" si="0">SUM(C10,C11,C12,C15,C16,C19)</f>
        <v>482714.15</v>
      </c>
      <c r="D9" s="66">
        <f t="shared" si="0"/>
        <v>3116666.72</v>
      </c>
      <c r="E9" s="66">
        <f t="shared" si="0"/>
        <v>3058397.89</v>
      </c>
      <c r="F9" s="66">
        <f t="shared" si="0"/>
        <v>2941500.94</v>
      </c>
      <c r="G9" s="66">
        <f>SUM(G10,G11,G12,G15,G16,G19)</f>
        <v>58268.83</v>
      </c>
    </row>
    <row r="10" spans="1:7" x14ac:dyDescent="0.25">
      <c r="A10" s="53" t="s">
        <v>401</v>
      </c>
      <c r="B10" s="159">
        <v>2633952.5699999998</v>
      </c>
      <c r="C10" s="159">
        <v>482714.15</v>
      </c>
      <c r="D10" s="160">
        <v>3116666.72</v>
      </c>
      <c r="E10" s="159">
        <v>3058397.89</v>
      </c>
      <c r="F10" s="159">
        <v>2941500.94</v>
      </c>
      <c r="G10" s="160">
        <v>58268.83</v>
      </c>
    </row>
    <row r="11" spans="1:7" x14ac:dyDescent="0.25">
      <c r="A11" s="53" t="s">
        <v>402</v>
      </c>
      <c r="B11" s="160"/>
      <c r="C11" s="160"/>
      <c r="D11" s="160">
        <f>B11+C11</f>
        <v>0</v>
      </c>
      <c r="E11" s="160"/>
      <c r="F11" s="160"/>
      <c r="G11" s="160">
        <f>D11-E11</f>
        <v>0</v>
      </c>
    </row>
    <row r="12" spans="1:7" ht="14.25" x14ac:dyDescent="0.45">
      <c r="A12" s="53" t="s">
        <v>403</v>
      </c>
      <c r="B12" s="67"/>
      <c r="C12" s="67"/>
      <c r="D12" s="67"/>
      <c r="E12" s="67"/>
      <c r="F12" s="67"/>
      <c r="G12" s="67">
        <f>G13+G14</f>
        <v>0</v>
      </c>
    </row>
    <row r="13" spans="1:7" x14ac:dyDescent="0.25">
      <c r="A13" s="63" t="s">
        <v>404</v>
      </c>
      <c r="B13" s="160"/>
      <c r="C13" s="160"/>
      <c r="D13" s="160">
        <f>B13+C13</f>
        <v>0</v>
      </c>
      <c r="E13" s="160"/>
      <c r="F13" s="160"/>
      <c r="G13" s="160">
        <f>D13-E13</f>
        <v>0</v>
      </c>
    </row>
    <row r="14" spans="1:7" x14ac:dyDescent="0.25">
      <c r="A14" s="63" t="s">
        <v>405</v>
      </c>
      <c r="B14" s="160"/>
      <c r="C14" s="160"/>
      <c r="D14" s="160">
        <f>B14+C14</f>
        <v>0</v>
      </c>
      <c r="E14" s="160"/>
      <c r="F14" s="160"/>
      <c r="G14" s="160">
        <f>D14-E14</f>
        <v>0</v>
      </c>
    </row>
    <row r="15" spans="1:7" x14ac:dyDescent="0.25">
      <c r="A15" s="53" t="s">
        <v>406</v>
      </c>
      <c r="B15" s="160"/>
      <c r="C15" s="160"/>
      <c r="D15" s="160">
        <f>B15+C15</f>
        <v>0</v>
      </c>
      <c r="E15" s="160"/>
      <c r="F15" s="160"/>
      <c r="G15" s="160">
        <f>D15-E15</f>
        <v>0</v>
      </c>
    </row>
    <row r="16" spans="1:7" x14ac:dyDescent="0.25">
      <c r="A16" s="64" t="s">
        <v>407</v>
      </c>
      <c r="B16" s="67"/>
      <c r="C16" s="67"/>
      <c r="D16" s="67"/>
      <c r="E16" s="67"/>
      <c r="F16" s="67"/>
      <c r="G16" s="67">
        <f t="shared" ref="G16" si="1">G17+G18</f>
        <v>0</v>
      </c>
    </row>
    <row r="17" spans="1:7" x14ac:dyDescent="0.25">
      <c r="A17" s="63" t="s">
        <v>408</v>
      </c>
      <c r="B17" s="160"/>
      <c r="C17" s="160"/>
      <c r="D17" s="160">
        <f>B17+C17</f>
        <v>0</v>
      </c>
      <c r="E17" s="160"/>
      <c r="F17" s="160"/>
      <c r="G17" s="160">
        <f>D17-E17</f>
        <v>0</v>
      </c>
    </row>
    <row r="18" spans="1:7" x14ac:dyDescent="0.25">
      <c r="A18" s="63" t="s">
        <v>409</v>
      </c>
      <c r="B18" s="160"/>
      <c r="C18" s="160"/>
      <c r="D18" s="160">
        <f>B18+C18</f>
        <v>0</v>
      </c>
      <c r="E18" s="160"/>
      <c r="F18" s="160"/>
      <c r="G18" s="160">
        <f>D18-E18</f>
        <v>0</v>
      </c>
    </row>
    <row r="19" spans="1:7" x14ac:dyDescent="0.25">
      <c r="A19" s="53" t="s">
        <v>410</v>
      </c>
      <c r="B19" s="160"/>
      <c r="C19" s="160"/>
      <c r="D19" s="160">
        <f>B19+C19</f>
        <v>0</v>
      </c>
      <c r="E19" s="160"/>
      <c r="F19" s="160"/>
      <c r="G19" s="160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1229055.83</v>
      </c>
      <c r="C21" s="66">
        <f t="shared" ref="C21:F21" si="2">SUM(C22,C23,C24,C27,C28,C31)</f>
        <v>0</v>
      </c>
      <c r="D21" s="66">
        <f t="shared" si="2"/>
        <v>1229055.83</v>
      </c>
      <c r="E21" s="66">
        <f t="shared" si="2"/>
        <v>1229055.83</v>
      </c>
      <c r="F21" s="66">
        <f t="shared" si="2"/>
        <v>1229055.83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159">
        <v>1229055.83</v>
      </c>
      <c r="C22" s="159" t="s">
        <v>3303</v>
      </c>
      <c r="D22" s="160">
        <v>1229055.83</v>
      </c>
      <c r="E22" s="159">
        <v>1229055.83</v>
      </c>
      <c r="F22" s="159">
        <v>1229055.83</v>
      </c>
      <c r="G22" s="160" t="s">
        <v>3303</v>
      </c>
    </row>
    <row r="23" spans="1:7" s="24" customFormat="1" x14ac:dyDescent="0.25">
      <c r="A23" s="53" t="s">
        <v>402</v>
      </c>
      <c r="B23" s="160"/>
      <c r="C23" s="160"/>
      <c r="D23" s="160">
        <f>B23+C23</f>
        <v>0</v>
      </c>
      <c r="E23" s="160"/>
      <c r="F23" s="160"/>
      <c r="G23" s="160">
        <f>D23-E23</f>
        <v>0</v>
      </c>
    </row>
    <row r="24" spans="1:7" s="24" customFormat="1" ht="14.25" x14ac:dyDescent="0.45">
      <c r="A24" s="53" t="s">
        <v>403</v>
      </c>
      <c r="B24" s="67"/>
      <c r="C24" s="67"/>
      <c r="D24" s="67"/>
      <c r="E24" s="67"/>
      <c r="F24" s="67"/>
      <c r="G24" s="67">
        <f t="shared" ref="G24" si="3">G25+G26</f>
        <v>0</v>
      </c>
    </row>
    <row r="25" spans="1:7" s="24" customFormat="1" x14ac:dyDescent="0.25">
      <c r="A25" s="63" t="s">
        <v>404</v>
      </c>
      <c r="B25" s="160"/>
      <c r="C25" s="160"/>
      <c r="D25" s="160">
        <f>B25+C25</f>
        <v>0</v>
      </c>
      <c r="E25" s="160"/>
      <c r="F25" s="160"/>
      <c r="G25" s="160">
        <f>D25-E25</f>
        <v>0</v>
      </c>
    </row>
    <row r="26" spans="1:7" s="24" customFormat="1" x14ac:dyDescent="0.25">
      <c r="A26" s="63" t="s">
        <v>405</v>
      </c>
      <c r="B26" s="160"/>
      <c r="C26" s="160"/>
      <c r="D26" s="160">
        <f>B26+C26</f>
        <v>0</v>
      </c>
      <c r="E26" s="160"/>
      <c r="F26" s="160"/>
      <c r="G26" s="160">
        <f>D26-E26</f>
        <v>0</v>
      </c>
    </row>
    <row r="27" spans="1:7" s="24" customFormat="1" x14ac:dyDescent="0.25">
      <c r="A27" s="53" t="s">
        <v>406</v>
      </c>
      <c r="B27" s="160"/>
      <c r="C27" s="160"/>
      <c r="D27" s="160"/>
      <c r="E27" s="160"/>
      <c r="F27" s="160"/>
      <c r="G27" s="160"/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4">C29+C30</f>
        <v>0</v>
      </c>
      <c r="D28" s="67">
        <f t="shared" si="4"/>
        <v>0</v>
      </c>
      <c r="E28" s="67">
        <f t="shared" si="4"/>
        <v>0</v>
      </c>
      <c r="F28" s="67">
        <f t="shared" si="4"/>
        <v>0</v>
      </c>
      <c r="G28" s="67">
        <f t="shared" si="4"/>
        <v>0</v>
      </c>
    </row>
    <row r="29" spans="1:7" s="24" customFormat="1" x14ac:dyDescent="0.25">
      <c r="A29" s="63" t="s">
        <v>408</v>
      </c>
      <c r="B29" s="160"/>
      <c r="C29" s="160"/>
      <c r="D29" s="160">
        <f>B29+C29</f>
        <v>0</v>
      </c>
      <c r="E29" s="160"/>
      <c r="F29" s="160"/>
      <c r="G29" s="160">
        <f>D29-E29</f>
        <v>0</v>
      </c>
    </row>
    <row r="30" spans="1:7" s="24" customFormat="1" x14ac:dyDescent="0.25">
      <c r="A30" s="63" t="s">
        <v>409</v>
      </c>
      <c r="B30" s="160"/>
      <c r="C30" s="160"/>
      <c r="D30" s="160">
        <f>B30+C30</f>
        <v>0</v>
      </c>
      <c r="E30" s="160"/>
      <c r="F30" s="160"/>
      <c r="G30" s="160">
        <f>D30-E30</f>
        <v>0</v>
      </c>
    </row>
    <row r="31" spans="1:7" s="24" customFormat="1" x14ac:dyDescent="0.25">
      <c r="A31" s="53" t="s">
        <v>410</v>
      </c>
      <c r="B31" s="160"/>
      <c r="C31" s="160"/>
      <c r="D31" s="160">
        <f>B31+C31</f>
        <v>0</v>
      </c>
      <c r="E31" s="160"/>
      <c r="F31" s="160"/>
      <c r="G31" s="160">
        <f>D31-E31</f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3863008.4</v>
      </c>
      <c r="C33" s="66">
        <f t="shared" ref="C33:G33" si="5">C21+C9</f>
        <v>482714.15</v>
      </c>
      <c r="D33" s="66">
        <f t="shared" si="5"/>
        <v>4345722.5500000007</v>
      </c>
      <c r="E33" s="66">
        <f t="shared" si="5"/>
        <v>4287453.7200000007</v>
      </c>
      <c r="F33" s="66">
        <f t="shared" si="5"/>
        <v>4170556.77</v>
      </c>
      <c r="G33" s="66">
        <f t="shared" si="5"/>
        <v>58268.83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2633952.5699999998</v>
      </c>
      <c r="Q2" s="18">
        <f>'Formato 6 d)'!C9</f>
        <v>482714.15</v>
      </c>
      <c r="R2" s="18">
        <f>'Formato 6 d)'!D9</f>
        <v>3116666.72</v>
      </c>
      <c r="S2" s="18">
        <f>'Formato 6 d)'!E9</f>
        <v>3058397.89</v>
      </c>
      <c r="T2" s="18">
        <f>'Formato 6 d)'!F9</f>
        <v>2941500.94</v>
      </c>
      <c r="U2" s="18">
        <f>'Formato 6 d)'!G9</f>
        <v>58268.83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2633952.5699999998</v>
      </c>
      <c r="Q3" s="18">
        <f>'Formato 6 d)'!C10</f>
        <v>482714.15</v>
      </c>
      <c r="R3" s="18">
        <f>'Formato 6 d)'!D10</f>
        <v>3116666.72</v>
      </c>
      <c r="S3" s="18">
        <f>'Formato 6 d)'!E10</f>
        <v>3058397.89</v>
      </c>
      <c r="T3" s="18">
        <f>'Formato 6 d)'!F10</f>
        <v>2941500.94</v>
      </c>
      <c r="U3" s="18">
        <f>'Formato 6 d)'!G10</f>
        <v>58268.83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1229055.83</v>
      </c>
      <c r="Q13" s="18">
        <f>'Formato 6 d)'!C21</f>
        <v>0</v>
      </c>
      <c r="R13" s="18">
        <f>'Formato 6 d)'!D21</f>
        <v>1229055.83</v>
      </c>
      <c r="S13" s="18">
        <f>'Formato 6 d)'!E21</f>
        <v>1229055.83</v>
      </c>
      <c r="T13" s="18">
        <f>'Formato 6 d)'!F21</f>
        <v>1229055.83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1229055.83</v>
      </c>
      <c r="Q14" s="18" t="str">
        <f>'Formato 6 d)'!C22</f>
        <v xml:space="preserve"> -   </v>
      </c>
      <c r="R14" s="18">
        <f>'Formato 6 d)'!D22</f>
        <v>1229055.83</v>
      </c>
      <c r="S14" s="18">
        <f>'Formato 6 d)'!E22</f>
        <v>1229055.83</v>
      </c>
      <c r="T14" s="18">
        <f>'Formato 6 d)'!F22</f>
        <v>1229055.83</v>
      </c>
      <c r="U14" s="18" t="str">
        <f>'Formato 6 d)'!G22</f>
        <v xml:space="preserve"> -   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3863008.4</v>
      </c>
      <c r="Q24" s="18">
        <f>'Formato 6 d)'!C33</f>
        <v>482714.15</v>
      </c>
      <c r="R24" s="18">
        <f>'Formato 6 d)'!D33</f>
        <v>4345722.5500000007</v>
      </c>
      <c r="S24" s="18">
        <f>'Formato 6 d)'!E33</f>
        <v>4287453.7200000007</v>
      </c>
      <c r="T24" s="18">
        <f>'Formato 6 d)'!F33</f>
        <v>4170556.77</v>
      </c>
      <c r="U24" s="18">
        <f>'Formato 6 d)'!G33</f>
        <v>58268.83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2" zoomScale="85" zoomScaleNormal="85" zoomScalePageLayoutView="90" workbookViewId="0">
      <selection activeCell="A2" sqref="A2:G2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84" t="s">
        <v>413</v>
      </c>
      <c r="B1" s="184"/>
      <c r="C1" s="184"/>
      <c r="D1" s="184"/>
      <c r="E1" s="184"/>
      <c r="F1" s="184"/>
      <c r="G1" s="184"/>
    </row>
    <row r="2" spans="1:7" ht="14.25" x14ac:dyDescent="0.45">
      <c r="A2" s="166" t="str">
        <f>ENTIDAD</f>
        <v>Municipio de Dolores Hidalgo Cuna de la Independencia Nacional, Gobierno del Estado de Guanajuato</v>
      </c>
      <c r="B2" s="167"/>
      <c r="C2" s="167"/>
      <c r="D2" s="167"/>
      <c r="E2" s="167"/>
      <c r="F2" s="167"/>
      <c r="G2" s="168"/>
    </row>
    <row r="3" spans="1:7" ht="14.25" x14ac:dyDescent="0.45">
      <c r="A3" s="169" t="s">
        <v>414</v>
      </c>
      <c r="B3" s="170"/>
      <c r="C3" s="170"/>
      <c r="D3" s="170"/>
      <c r="E3" s="170"/>
      <c r="F3" s="170"/>
      <c r="G3" s="171"/>
    </row>
    <row r="4" spans="1:7" ht="14.25" x14ac:dyDescent="0.45">
      <c r="A4" s="169" t="s">
        <v>118</v>
      </c>
      <c r="B4" s="170"/>
      <c r="C4" s="170"/>
      <c r="D4" s="170"/>
      <c r="E4" s="170"/>
      <c r="F4" s="170"/>
      <c r="G4" s="171"/>
    </row>
    <row r="5" spans="1:7" ht="14.25" x14ac:dyDescent="0.45">
      <c r="A5" s="169" t="s">
        <v>415</v>
      </c>
      <c r="B5" s="170"/>
      <c r="C5" s="170"/>
      <c r="D5" s="170"/>
      <c r="E5" s="170"/>
      <c r="F5" s="170"/>
      <c r="G5" s="171"/>
    </row>
    <row r="6" spans="1:7" x14ac:dyDescent="0.25">
      <c r="A6" s="181" t="s">
        <v>3288</v>
      </c>
      <c r="B6" s="51">
        <f>ANIO1P</f>
        <v>2021</v>
      </c>
      <c r="C6" s="194" t="str">
        <f>ANIO2P</f>
        <v>2022 (d)</v>
      </c>
      <c r="D6" s="194" t="str">
        <f>ANIO3P</f>
        <v>2023 (d)</v>
      </c>
      <c r="E6" s="194" t="str">
        <f>ANIO4P</f>
        <v>2024 (d)</v>
      </c>
      <c r="F6" s="194" t="str">
        <f>ANIO5P</f>
        <v>2025 (d)</v>
      </c>
      <c r="G6" s="194" t="str">
        <f>ANIO6P</f>
        <v>2026 (d)</v>
      </c>
    </row>
    <row r="7" spans="1:7" ht="48" customHeight="1" x14ac:dyDescent="0.25">
      <c r="A7" s="182"/>
      <c r="B7" s="88" t="s">
        <v>3291</v>
      </c>
      <c r="C7" s="195"/>
      <c r="D7" s="195"/>
      <c r="E7" s="195"/>
      <c r="F7" s="195"/>
      <c r="G7" s="195"/>
    </row>
    <row r="8" spans="1:7" x14ac:dyDescent="0.25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4.25" x14ac:dyDescent="0.45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ht="14.25" x14ac:dyDescent="0.45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ht="14.25" x14ac:dyDescent="0.45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ht="14.25" x14ac:dyDescent="0.45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ht="14.25" x14ac:dyDescent="0.45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ht="14.25" x14ac:dyDescent="0.45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ht="14.25" x14ac:dyDescent="0.45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ht="14.25" x14ac:dyDescent="0.45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 ht="14.25" x14ac:dyDescent="0.45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 x14ac:dyDescent="0.25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 ht="14.25" x14ac:dyDescent="0.45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ht="14.25" x14ac:dyDescent="0.45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ht="14.25" x14ac:dyDescent="0.45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ht="14.25" x14ac:dyDescent="0.45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ht="14.25" x14ac:dyDescent="0.45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 ht="14.25" x14ac:dyDescent="0.45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 ht="14.25" x14ac:dyDescent="0.45">
      <c r="A33" s="54"/>
      <c r="B33" s="54"/>
      <c r="C33" s="54"/>
      <c r="D33" s="54"/>
      <c r="E33" s="54"/>
      <c r="F33" s="54"/>
      <c r="G33" s="54"/>
    </row>
    <row r="34" spans="1:7" ht="14.25" x14ac:dyDescent="0.4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30" x14ac:dyDescent="0.25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 x14ac:dyDescent="0.25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84" t="s">
        <v>451</v>
      </c>
      <c r="B1" s="184"/>
      <c r="C1" s="184"/>
      <c r="D1" s="184"/>
      <c r="E1" s="184"/>
      <c r="F1" s="184"/>
      <c r="G1" s="184"/>
    </row>
    <row r="2" spans="1:7" customFormat="1" ht="14.25" x14ac:dyDescent="0.45">
      <c r="A2" s="166" t="str">
        <f>ENTIDAD</f>
        <v>Municipio de Dolores Hidalgo Cuna de la Independencia Nacional, Gobierno del Estado de Guanajuato</v>
      </c>
      <c r="B2" s="167"/>
      <c r="C2" s="167"/>
      <c r="D2" s="167"/>
      <c r="E2" s="167"/>
      <c r="F2" s="167"/>
      <c r="G2" s="168"/>
    </row>
    <row r="3" spans="1:7" customFormat="1" ht="14.25" x14ac:dyDescent="0.45">
      <c r="A3" s="169" t="s">
        <v>452</v>
      </c>
      <c r="B3" s="170"/>
      <c r="C3" s="170"/>
      <c r="D3" s="170"/>
      <c r="E3" s="170"/>
      <c r="F3" s="170"/>
      <c r="G3" s="171"/>
    </row>
    <row r="4" spans="1:7" customFormat="1" ht="14.25" x14ac:dyDescent="0.45">
      <c r="A4" s="169" t="s">
        <v>118</v>
      </c>
      <c r="B4" s="170"/>
      <c r="C4" s="170"/>
      <c r="D4" s="170"/>
      <c r="E4" s="170"/>
      <c r="F4" s="170"/>
      <c r="G4" s="171"/>
    </row>
    <row r="5" spans="1:7" customFormat="1" ht="14.25" x14ac:dyDescent="0.45">
      <c r="A5" s="169" t="s">
        <v>415</v>
      </c>
      <c r="B5" s="170"/>
      <c r="C5" s="170"/>
      <c r="D5" s="170"/>
      <c r="E5" s="170"/>
      <c r="F5" s="170"/>
      <c r="G5" s="171"/>
    </row>
    <row r="6" spans="1:7" customFormat="1" x14ac:dyDescent="0.25">
      <c r="A6" s="196" t="s">
        <v>3142</v>
      </c>
      <c r="B6" s="51">
        <f>ANIO1P</f>
        <v>2021</v>
      </c>
      <c r="C6" s="194" t="str">
        <f>ANIO2P</f>
        <v>2022 (d)</v>
      </c>
      <c r="D6" s="194" t="str">
        <f>ANIO3P</f>
        <v>2023 (d)</v>
      </c>
      <c r="E6" s="194" t="str">
        <f>ANIO4P</f>
        <v>2024 (d)</v>
      </c>
      <c r="F6" s="194" t="str">
        <f>ANIO5P</f>
        <v>2025 (d)</v>
      </c>
      <c r="G6" s="194" t="str">
        <f>ANIO6P</f>
        <v>2026 (d)</v>
      </c>
    </row>
    <row r="7" spans="1:7" customFormat="1" ht="48" customHeight="1" x14ac:dyDescent="0.25">
      <c r="A7" s="197"/>
      <c r="B7" s="88" t="s">
        <v>3291</v>
      </c>
      <c r="C7" s="195"/>
      <c r="D7" s="195"/>
      <c r="E7" s="195"/>
      <c r="F7" s="195"/>
      <c r="G7" s="195"/>
    </row>
    <row r="8" spans="1:7" x14ac:dyDescent="0.25">
      <c r="A8" s="52" t="s">
        <v>453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 x14ac:dyDescent="0.25">
      <c r="A9" s="53" t="s">
        <v>454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25">
      <c r="A10" s="53" t="s">
        <v>455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25">
      <c r="A11" s="53" t="s">
        <v>456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25">
      <c r="A12" s="53" t="s">
        <v>457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458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25">
      <c r="A14" s="53" t="s">
        <v>459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25">
      <c r="A15" s="53" t="s">
        <v>460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25">
      <c r="A16" s="53" t="s">
        <v>461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53" t="s">
        <v>462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 x14ac:dyDescent="0.25">
      <c r="A20" s="53" t="s">
        <v>454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3" t="s">
        <v>455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25">
      <c r="A22" s="53" t="s">
        <v>456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25">
      <c r="A23" s="53" t="s">
        <v>457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458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459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3" t="s">
        <v>460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464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3" t="s">
        <v>462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 ht="14.25" x14ac:dyDescent="0.4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84" t="s">
        <v>466</v>
      </c>
      <c r="B1" s="184"/>
      <c r="C1" s="184"/>
      <c r="D1" s="184"/>
      <c r="E1" s="184"/>
      <c r="F1" s="184"/>
      <c r="G1" s="184"/>
    </row>
    <row r="2" spans="1:7" ht="14.25" x14ac:dyDescent="0.45">
      <c r="A2" s="166" t="str">
        <f>ENTIDAD</f>
        <v>Municipio de Dolores Hidalgo Cuna de la Independencia Nacional, Gobierno del Estado de Guanajuato</v>
      </c>
      <c r="B2" s="167"/>
      <c r="C2" s="167"/>
      <c r="D2" s="167"/>
      <c r="E2" s="167"/>
      <c r="F2" s="167"/>
      <c r="G2" s="168"/>
    </row>
    <row r="3" spans="1:7" ht="14.25" x14ac:dyDescent="0.45">
      <c r="A3" s="169" t="s">
        <v>467</v>
      </c>
      <c r="B3" s="170"/>
      <c r="C3" s="170"/>
      <c r="D3" s="170"/>
      <c r="E3" s="170"/>
      <c r="F3" s="170"/>
      <c r="G3" s="171"/>
    </row>
    <row r="4" spans="1:7" ht="14.25" x14ac:dyDescent="0.45">
      <c r="A4" s="175" t="s">
        <v>118</v>
      </c>
      <c r="B4" s="176"/>
      <c r="C4" s="176"/>
      <c r="D4" s="176"/>
      <c r="E4" s="176"/>
      <c r="F4" s="176"/>
      <c r="G4" s="177"/>
    </row>
    <row r="5" spans="1:7" x14ac:dyDescent="0.25">
      <c r="A5" s="201" t="s">
        <v>3288</v>
      </c>
      <c r="B5" s="199" t="str">
        <f>ANIO5R</f>
        <v>2015 ¹ (c)</v>
      </c>
      <c r="C5" s="199" t="str">
        <f>ANIO4R</f>
        <v>2016 ¹ (c)</v>
      </c>
      <c r="D5" s="199" t="str">
        <f>ANIO3R</f>
        <v>2017 ¹ (c)</v>
      </c>
      <c r="E5" s="199" t="str">
        <f>ANIO2R</f>
        <v>2018 ¹ (c)</v>
      </c>
      <c r="F5" s="199" t="str">
        <f>ANIO1R</f>
        <v>2019 ¹ (c)</v>
      </c>
      <c r="G5" s="51">
        <f>ANIO_INFORME</f>
        <v>2020</v>
      </c>
    </row>
    <row r="6" spans="1:7" ht="32.1" customHeight="1" x14ac:dyDescent="0.25">
      <c r="A6" s="202"/>
      <c r="B6" s="200"/>
      <c r="C6" s="200"/>
      <c r="D6" s="200"/>
      <c r="E6" s="200"/>
      <c r="F6" s="200"/>
      <c r="G6" s="88" t="s">
        <v>3294</v>
      </c>
    </row>
    <row r="7" spans="1:7" x14ac:dyDescent="0.25">
      <c r="A7" s="52" t="s">
        <v>468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 x14ac:dyDescent="0.25">
      <c r="A8" s="53" t="s">
        <v>469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470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471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472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473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6" t="s">
        <v>474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475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476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477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x14ac:dyDescent="0.25">
      <c r="A17" s="53" t="s">
        <v>3298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 x14ac:dyDescent="0.25">
      <c r="A18" s="53" t="s">
        <v>478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 x14ac:dyDescent="0.25">
      <c r="A19" s="53" t="s">
        <v>479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 x14ac:dyDescent="0.25">
      <c r="A22" s="53" t="s">
        <v>480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481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482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483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484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 ht="14.25" x14ac:dyDescent="0.45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 ht="14.25" x14ac:dyDescent="0.45">
      <c r="A32" s="54"/>
      <c r="B32" s="54"/>
      <c r="C32" s="54"/>
      <c r="D32" s="54"/>
      <c r="E32" s="54"/>
      <c r="F32" s="54"/>
      <c r="G32" s="54"/>
    </row>
    <row r="33" spans="1:7" ht="14.25" x14ac:dyDescent="0.4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ht="30" x14ac:dyDescent="0.25">
      <c r="A35" s="57" t="s">
        <v>488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 x14ac:dyDescent="0.25">
      <c r="A36" s="55" t="s">
        <v>489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98" t="s">
        <v>3292</v>
      </c>
      <c r="B39" s="198"/>
      <c r="C39" s="198"/>
      <c r="D39" s="198"/>
      <c r="E39" s="198"/>
      <c r="F39" s="198"/>
      <c r="G39" s="198"/>
    </row>
    <row r="40" spans="1:7" ht="15" customHeight="1" x14ac:dyDescent="0.25">
      <c r="A40" s="198" t="s">
        <v>3293</v>
      </c>
      <c r="B40" s="198"/>
      <c r="C40" s="198"/>
      <c r="D40" s="198"/>
      <c r="E40" s="198"/>
      <c r="F40" s="198"/>
      <c r="G40" s="198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84" t="s">
        <v>490</v>
      </c>
      <c r="B1" s="184"/>
      <c r="C1" s="184"/>
      <c r="D1" s="184"/>
      <c r="E1" s="184"/>
      <c r="F1" s="184"/>
      <c r="G1" s="184"/>
    </row>
    <row r="2" spans="1:7" ht="14.25" x14ac:dyDescent="0.45">
      <c r="A2" s="166" t="str">
        <f>ENTIDAD</f>
        <v>Municipio de Dolores Hidalgo Cuna de la Independencia Nacional, Gobierno del Estado de Guanajuato</v>
      </c>
      <c r="B2" s="167"/>
      <c r="C2" s="167"/>
      <c r="D2" s="167"/>
      <c r="E2" s="167"/>
      <c r="F2" s="167"/>
      <c r="G2" s="168"/>
    </row>
    <row r="3" spans="1:7" ht="14.25" x14ac:dyDescent="0.45">
      <c r="A3" s="169" t="s">
        <v>491</v>
      </c>
      <c r="B3" s="170"/>
      <c r="C3" s="170"/>
      <c r="D3" s="170"/>
      <c r="E3" s="170"/>
      <c r="F3" s="170"/>
      <c r="G3" s="171"/>
    </row>
    <row r="4" spans="1:7" ht="14.25" x14ac:dyDescent="0.45">
      <c r="A4" s="175" t="s">
        <v>118</v>
      </c>
      <c r="B4" s="176"/>
      <c r="C4" s="176"/>
      <c r="D4" s="176"/>
      <c r="E4" s="176"/>
      <c r="F4" s="176"/>
      <c r="G4" s="177"/>
    </row>
    <row r="5" spans="1:7" x14ac:dyDescent="0.25">
      <c r="A5" s="203" t="s">
        <v>3142</v>
      </c>
      <c r="B5" s="199" t="str">
        <f>ANIO5R</f>
        <v>2015 ¹ (c)</v>
      </c>
      <c r="C5" s="199" t="str">
        <f>ANIO4R</f>
        <v>2016 ¹ (c)</v>
      </c>
      <c r="D5" s="199" t="str">
        <f>ANIO3R</f>
        <v>2017 ¹ (c)</v>
      </c>
      <c r="E5" s="199" t="str">
        <f>ANIO2R</f>
        <v>2018 ¹ (c)</v>
      </c>
      <c r="F5" s="199" t="str">
        <f>ANIO1R</f>
        <v>2019 ¹ (c)</v>
      </c>
      <c r="G5" s="51">
        <f>ANIO_INFORME</f>
        <v>2020</v>
      </c>
    </row>
    <row r="6" spans="1:7" ht="32.1" customHeight="1" x14ac:dyDescent="0.25">
      <c r="A6" s="204"/>
      <c r="B6" s="200"/>
      <c r="C6" s="200"/>
      <c r="D6" s="200"/>
      <c r="E6" s="200"/>
      <c r="F6" s="200"/>
      <c r="G6" s="88" t="s">
        <v>3295</v>
      </c>
    </row>
    <row r="7" spans="1:7" ht="14.25" x14ac:dyDescent="0.45">
      <c r="A7" s="52" t="s">
        <v>492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 x14ac:dyDescent="0.25">
      <c r="A8" s="53" t="s">
        <v>454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455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456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457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458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3" t="s">
        <v>459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460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461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462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 x14ac:dyDescent="0.25">
      <c r="A19" s="53" t="s">
        <v>454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x14ac:dyDescent="0.25">
      <c r="A20" s="53" t="s">
        <v>455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 x14ac:dyDescent="0.25">
      <c r="A21" s="53" t="s">
        <v>456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 x14ac:dyDescent="0.25">
      <c r="A22" s="53" t="s">
        <v>457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458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459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460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464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3" t="s">
        <v>462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 ht="14.25" x14ac:dyDescent="0.45">
      <c r="A30" s="58"/>
      <c r="B30" s="58"/>
      <c r="C30" s="58"/>
      <c r="D30" s="58"/>
      <c r="E30" s="58"/>
      <c r="F30" s="58"/>
      <c r="G30" s="58"/>
    </row>
    <row r="31" spans="1:7" ht="14.25" x14ac:dyDescent="0.45">
      <c r="A31" s="90"/>
    </row>
    <row r="32" spans="1:7" ht="14.25" x14ac:dyDescent="0.45">
      <c r="A32" s="198" t="s">
        <v>3292</v>
      </c>
      <c r="B32" s="198"/>
      <c r="C32" s="198"/>
      <c r="D32" s="198"/>
      <c r="E32" s="198"/>
      <c r="F32" s="198"/>
      <c r="G32" s="198"/>
    </row>
    <row r="33" spans="1:7" x14ac:dyDescent="0.25">
      <c r="A33" s="198" t="s">
        <v>3293</v>
      </c>
      <c r="B33" s="198"/>
      <c r="C33" s="198"/>
      <c r="D33" s="198"/>
      <c r="E33" s="198"/>
      <c r="F33" s="198"/>
      <c r="G33" s="198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5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78" t="s">
        <v>495</v>
      </c>
      <c r="B1" s="178"/>
      <c r="C1" s="178"/>
      <c r="D1" s="178"/>
      <c r="E1" s="178"/>
      <c r="F1" s="178"/>
      <c r="G1" s="111"/>
    </row>
    <row r="2" spans="1:7" ht="14.25" x14ac:dyDescent="0.45">
      <c r="A2" s="166" t="str">
        <f>ENTE_PUBLICO</f>
        <v>INSTITUTO MUNICIPAL DE VIVIENDA DE DOLORES HIDALGO, CIN, GTO., Gobierno del Estado de Guanajuato</v>
      </c>
      <c r="B2" s="167"/>
      <c r="C2" s="167"/>
      <c r="D2" s="167"/>
      <c r="E2" s="167"/>
      <c r="F2" s="168"/>
    </row>
    <row r="3" spans="1:7" ht="14.25" x14ac:dyDescent="0.45">
      <c r="A3" s="175" t="s">
        <v>496</v>
      </c>
      <c r="B3" s="176"/>
      <c r="C3" s="176"/>
      <c r="D3" s="176"/>
      <c r="E3" s="176"/>
      <c r="F3" s="177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519</v>
      </c>
      <c r="B27" s="54"/>
      <c r="C27" s="54"/>
      <c r="D27" s="54"/>
      <c r="E27" s="54"/>
      <c r="F27" s="54"/>
    </row>
    <row r="28" spans="1:6" ht="14.25" x14ac:dyDescent="0.45">
      <c r="A28" s="137" t="s">
        <v>520</v>
      </c>
      <c r="B28" s="60"/>
      <c r="C28" s="60"/>
      <c r="D28" s="60"/>
      <c r="E28" s="60"/>
      <c r="F28" s="60"/>
    </row>
    <row r="29" spans="1:6" ht="14.25" x14ac:dyDescent="0.4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ht="14.25" x14ac:dyDescent="0.45">
      <c r="A31" s="137" t="s">
        <v>506</v>
      </c>
      <c r="B31" s="60"/>
      <c r="C31" s="60"/>
      <c r="D31" s="60"/>
      <c r="E31" s="60"/>
      <c r="F31" s="60"/>
    </row>
    <row r="32" spans="1:6" ht="14.25" x14ac:dyDescent="0.45">
      <c r="A32" s="137" t="s">
        <v>510</v>
      </c>
      <c r="B32" s="60"/>
      <c r="C32" s="60"/>
      <c r="D32" s="60"/>
      <c r="E32" s="60"/>
      <c r="F32" s="60"/>
    </row>
    <row r="33" spans="1:6" ht="14.25" x14ac:dyDescent="0.45">
      <c r="A33" s="137" t="s">
        <v>522</v>
      </c>
      <c r="B33" s="60"/>
      <c r="C33" s="60"/>
      <c r="D33" s="60"/>
      <c r="E33" s="60"/>
      <c r="F33" s="60"/>
    </row>
    <row r="34" spans="1:6" ht="14.25" x14ac:dyDescent="0.4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ht="14.25" x14ac:dyDescent="0.4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ht="14.25" x14ac:dyDescent="0.4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B31" zoomScale="90" zoomScaleNormal="90" workbookViewId="0">
      <selection activeCell="E81" sqref="E81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78" t="s">
        <v>545</v>
      </c>
      <c r="B1" s="178"/>
      <c r="C1" s="178"/>
      <c r="D1" s="178"/>
      <c r="E1" s="178"/>
      <c r="F1" s="178"/>
    </row>
    <row r="2" spans="1:6" ht="14.25" x14ac:dyDescent="0.45">
      <c r="A2" s="166" t="str">
        <f>ENTE_PUBLICO_A</f>
        <v>INSTITUTO MUNICIPAL DE VIVIENDA DE DOLORES HIDALGO, CIN, GTO., Gobierno del Estado de Guanajuato (a)</v>
      </c>
      <c r="B2" s="167"/>
      <c r="C2" s="167"/>
      <c r="D2" s="167"/>
      <c r="E2" s="167"/>
      <c r="F2" s="168"/>
    </row>
    <row r="3" spans="1:6" x14ac:dyDescent="0.25">
      <c r="A3" s="169" t="s">
        <v>117</v>
      </c>
      <c r="B3" s="170"/>
      <c r="C3" s="170"/>
      <c r="D3" s="170"/>
      <c r="E3" s="170"/>
      <c r="F3" s="171"/>
    </row>
    <row r="4" spans="1:6" ht="14.25" x14ac:dyDescent="0.45">
      <c r="A4" s="172" t="str">
        <f>PERIODO_INFORME</f>
        <v>Al 31 de diciembre de 2019 y al 31 de diciembre de 2020 (b)</v>
      </c>
      <c r="B4" s="173"/>
      <c r="C4" s="173"/>
      <c r="D4" s="173"/>
      <c r="E4" s="173"/>
      <c r="F4" s="174"/>
    </row>
    <row r="5" spans="1:6" ht="14.25" x14ac:dyDescent="0.45">
      <c r="A5" s="175" t="s">
        <v>118</v>
      </c>
      <c r="B5" s="176"/>
      <c r="C5" s="176"/>
      <c r="D5" s="176"/>
      <c r="E5" s="176"/>
      <c r="F5" s="177"/>
    </row>
    <row r="6" spans="1:6" s="3" customFormat="1" ht="28.5" x14ac:dyDescent="0.45">
      <c r="A6" s="133" t="s">
        <v>3284</v>
      </c>
      <c r="B6" s="134" t="str">
        <f>ANIO</f>
        <v>2020 (d)</v>
      </c>
      <c r="C6" s="131" t="str">
        <f>ULTIMO</f>
        <v>31 de diciembre de 2019 (e)</v>
      </c>
      <c r="D6" s="135" t="s">
        <v>0</v>
      </c>
      <c r="E6" s="134" t="str">
        <f>ANIO</f>
        <v>2020 (d)</v>
      </c>
      <c r="F6" s="131" t="str">
        <f>ULTIMO</f>
        <v>31 de diciembre de 2019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x14ac:dyDescent="0.25">
      <c r="A9" s="95" t="s">
        <v>3</v>
      </c>
      <c r="B9" s="60">
        <f>SUM(B10:B16)</f>
        <v>7695571.7399999993</v>
      </c>
      <c r="C9" s="60">
        <f>SUM(C10:C16)</f>
        <v>7117574.4800000004</v>
      </c>
      <c r="D9" s="100" t="s">
        <v>54</v>
      </c>
      <c r="E9" s="60">
        <f>SUM(E10:E18)</f>
        <v>5229068.4700000007</v>
      </c>
      <c r="F9" s="60">
        <f>SUM(F10:F18)</f>
        <v>3427953.77</v>
      </c>
    </row>
    <row r="10" spans="1:6" x14ac:dyDescent="0.25">
      <c r="A10" s="96" t="s">
        <v>4</v>
      </c>
      <c r="B10" s="149">
        <v>368345.29</v>
      </c>
      <c r="C10" s="149">
        <v>368345.29</v>
      </c>
      <c r="D10" s="101" t="s">
        <v>55</v>
      </c>
      <c r="E10" s="149">
        <v>116896.95</v>
      </c>
      <c r="F10" s="149">
        <v>70058.83</v>
      </c>
    </row>
    <row r="11" spans="1:6" x14ac:dyDescent="0.25">
      <c r="A11" s="96" t="s">
        <v>5</v>
      </c>
      <c r="B11" s="150"/>
      <c r="C11" s="150"/>
      <c r="D11" s="101" t="s">
        <v>56</v>
      </c>
      <c r="E11" s="149">
        <v>236863.33</v>
      </c>
      <c r="F11" s="149">
        <v>319007.92</v>
      </c>
    </row>
    <row r="12" spans="1:6" x14ac:dyDescent="0.25">
      <c r="A12" s="96" t="s">
        <v>6</v>
      </c>
      <c r="B12" s="149">
        <v>-6903948.4000000004</v>
      </c>
      <c r="C12" s="149">
        <v>2145781.2799999998</v>
      </c>
      <c r="D12" s="101" t="s">
        <v>57</v>
      </c>
      <c r="E12" s="149">
        <v>4448964.88</v>
      </c>
      <c r="F12" s="149">
        <v>2654218.4</v>
      </c>
    </row>
    <row r="13" spans="1:6" x14ac:dyDescent="0.25">
      <c r="A13" s="96" t="s">
        <v>7</v>
      </c>
      <c r="B13" s="149">
        <v>14231174.85</v>
      </c>
      <c r="C13" s="149">
        <v>4603447.91</v>
      </c>
      <c r="D13" s="101" t="s">
        <v>58</v>
      </c>
      <c r="E13" s="150"/>
      <c r="F13" s="150"/>
    </row>
    <row r="14" spans="1:6" x14ac:dyDescent="0.25">
      <c r="A14" s="96" t="s">
        <v>8</v>
      </c>
      <c r="B14" s="150"/>
      <c r="C14" s="150"/>
      <c r="D14" s="101" t="s">
        <v>59</v>
      </c>
      <c r="E14" s="150"/>
      <c r="F14" s="150"/>
    </row>
    <row r="15" spans="1:6" x14ac:dyDescent="0.25">
      <c r="A15" s="96" t="s">
        <v>9</v>
      </c>
      <c r="B15" s="150"/>
      <c r="C15" s="150"/>
      <c r="D15" s="101" t="s">
        <v>60</v>
      </c>
      <c r="E15" s="150"/>
      <c r="F15" s="150"/>
    </row>
    <row r="16" spans="1:6" x14ac:dyDescent="0.25">
      <c r="A16" s="96" t="s">
        <v>10</v>
      </c>
      <c r="B16" s="150"/>
      <c r="C16" s="150"/>
      <c r="D16" s="101" t="s">
        <v>61</v>
      </c>
      <c r="E16" s="149">
        <v>196604.11</v>
      </c>
      <c r="F16" s="149">
        <v>154929.42000000001</v>
      </c>
    </row>
    <row r="17" spans="1:6" x14ac:dyDescent="0.25">
      <c r="A17" s="95" t="s">
        <v>11</v>
      </c>
      <c r="B17" s="60">
        <f>SUM(B18:B24)</f>
        <v>24175376.240000002</v>
      </c>
      <c r="C17" s="60">
        <f>SUM(C18:C24)</f>
        <v>29260843.730000004</v>
      </c>
      <c r="D17" s="101" t="s">
        <v>62</v>
      </c>
      <c r="E17" s="150"/>
      <c r="F17" s="150"/>
    </row>
    <row r="18" spans="1:6" x14ac:dyDescent="0.25">
      <c r="A18" s="97" t="s">
        <v>12</v>
      </c>
      <c r="B18" s="150"/>
      <c r="C18" s="150"/>
      <c r="D18" s="101" t="s">
        <v>63</v>
      </c>
      <c r="E18" s="149">
        <v>229739.2</v>
      </c>
      <c r="F18" s="149">
        <v>229739.2</v>
      </c>
    </row>
    <row r="19" spans="1:6" x14ac:dyDescent="0.25">
      <c r="A19" s="97" t="s">
        <v>13</v>
      </c>
      <c r="B19" s="149">
        <v>17263134.949999999</v>
      </c>
      <c r="C19" s="149">
        <v>20859671.100000001</v>
      </c>
      <c r="D19" s="100" t="s">
        <v>64</v>
      </c>
      <c r="E19" s="150">
        <f>SUM(E20:E22)</f>
        <v>0</v>
      </c>
      <c r="F19" s="150">
        <f>SUM(F20:F22)</f>
        <v>0</v>
      </c>
    </row>
    <row r="20" spans="1:6" x14ac:dyDescent="0.25">
      <c r="A20" s="97" t="s">
        <v>14</v>
      </c>
      <c r="B20" s="149">
        <v>-27.13</v>
      </c>
      <c r="C20" s="149">
        <v>-27.13</v>
      </c>
      <c r="D20" s="101" t="s">
        <v>65</v>
      </c>
      <c r="E20" s="149">
        <v>0</v>
      </c>
      <c r="F20" s="149">
        <v>0</v>
      </c>
    </row>
    <row r="21" spans="1:6" x14ac:dyDescent="0.25">
      <c r="A21" s="97" t="s">
        <v>15</v>
      </c>
      <c r="B21" s="149">
        <v>0</v>
      </c>
      <c r="C21" s="149" t="s">
        <v>3303</v>
      </c>
      <c r="D21" s="101" t="s">
        <v>66</v>
      </c>
      <c r="E21" s="149">
        <v>0</v>
      </c>
      <c r="F21" s="149">
        <v>0</v>
      </c>
    </row>
    <row r="22" spans="1:6" x14ac:dyDescent="0.25">
      <c r="A22" s="97" t="s">
        <v>16</v>
      </c>
      <c r="B22" s="150"/>
      <c r="C22" s="150"/>
      <c r="D22" s="101" t="s">
        <v>67</v>
      </c>
      <c r="E22" s="149">
        <v>0</v>
      </c>
      <c r="F22" s="149">
        <v>0</v>
      </c>
    </row>
    <row r="23" spans="1:6" x14ac:dyDescent="0.25">
      <c r="A23" s="97" t="s">
        <v>17</v>
      </c>
      <c r="B23" s="150"/>
      <c r="C23" s="150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149">
        <v>6912268.4199999999</v>
      </c>
      <c r="C24" s="149">
        <v>8401199.7599999998</v>
      </c>
      <c r="D24" s="101" t="s">
        <v>69</v>
      </c>
      <c r="E24" s="149">
        <v>0</v>
      </c>
      <c r="F24" s="149">
        <v>0</v>
      </c>
    </row>
    <row r="25" spans="1:6" x14ac:dyDescent="0.25">
      <c r="A25" s="95" t="s">
        <v>19</v>
      </c>
      <c r="B25" s="60">
        <f>SUM(B26:B30)</f>
        <v>527730.35</v>
      </c>
      <c r="C25" s="60">
        <f>SUM(C26:C30)</f>
        <v>649209.59</v>
      </c>
      <c r="D25" s="101" t="s">
        <v>70</v>
      </c>
      <c r="E25" s="149">
        <v>0</v>
      </c>
      <c r="F25" s="149">
        <v>0</v>
      </c>
    </row>
    <row r="26" spans="1:6" x14ac:dyDescent="0.25">
      <c r="A26" s="97" t="s">
        <v>20</v>
      </c>
      <c r="B26" s="150"/>
      <c r="C26" s="150"/>
      <c r="D26" s="100" t="s">
        <v>71</v>
      </c>
      <c r="E26" s="149">
        <v>0</v>
      </c>
      <c r="F26" s="149">
        <v>0</v>
      </c>
    </row>
    <row r="27" spans="1:6" x14ac:dyDescent="0.25">
      <c r="A27" s="97" t="s">
        <v>21</v>
      </c>
      <c r="B27" s="150"/>
      <c r="C27" s="150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150"/>
      <c r="C28" s="150"/>
      <c r="D28" s="101" t="s">
        <v>73</v>
      </c>
      <c r="E28" s="149">
        <v>0</v>
      </c>
      <c r="F28" s="149">
        <v>0</v>
      </c>
    </row>
    <row r="29" spans="1:6" x14ac:dyDescent="0.25">
      <c r="A29" s="97" t="s">
        <v>23</v>
      </c>
      <c r="B29" s="149">
        <v>527730.35</v>
      </c>
      <c r="C29" s="149">
        <v>649209.59</v>
      </c>
      <c r="D29" s="101" t="s">
        <v>74</v>
      </c>
      <c r="E29" s="149">
        <v>0</v>
      </c>
      <c r="F29" s="149">
        <v>0</v>
      </c>
    </row>
    <row r="30" spans="1:6" x14ac:dyDescent="0.25">
      <c r="A30" s="97" t="s">
        <v>24</v>
      </c>
      <c r="B30" s="150"/>
      <c r="C30" s="150"/>
      <c r="D30" s="101" t="s">
        <v>75</v>
      </c>
      <c r="E30" s="149">
        <v>0</v>
      </c>
      <c r="F30" s="149">
        <v>0</v>
      </c>
    </row>
    <row r="31" spans="1:6" x14ac:dyDescent="0.25">
      <c r="A31" s="95" t="s">
        <v>25</v>
      </c>
      <c r="B31" s="60">
        <f>SUM(B32:B36)</f>
        <v>14657.62</v>
      </c>
      <c r="C31" s="60">
        <f>SUM(C32:C36)</f>
        <v>14657.62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149">
        <v>14657.62</v>
      </c>
      <c r="C32" s="149">
        <v>14657.62</v>
      </c>
      <c r="D32" s="101" t="s">
        <v>77</v>
      </c>
      <c r="E32" s="150"/>
      <c r="F32" s="150"/>
    </row>
    <row r="33" spans="1:6" x14ac:dyDescent="0.25">
      <c r="A33" s="97" t="s">
        <v>27</v>
      </c>
      <c r="B33" s="150"/>
      <c r="C33" s="150"/>
      <c r="D33" s="101" t="s">
        <v>78</v>
      </c>
      <c r="E33" s="150"/>
      <c r="F33" s="150"/>
    </row>
    <row r="34" spans="1:6" x14ac:dyDescent="0.25">
      <c r="A34" s="97" t="s">
        <v>28</v>
      </c>
      <c r="B34" s="150"/>
      <c r="C34" s="150"/>
      <c r="D34" s="101" t="s">
        <v>79</v>
      </c>
      <c r="E34" s="150"/>
      <c r="F34" s="150"/>
    </row>
    <row r="35" spans="1:6" x14ac:dyDescent="0.25">
      <c r="A35" s="97" t="s">
        <v>29</v>
      </c>
      <c r="B35" s="150"/>
      <c r="C35" s="150"/>
      <c r="D35" s="101" t="s">
        <v>80</v>
      </c>
      <c r="E35" s="150"/>
      <c r="F35" s="150"/>
    </row>
    <row r="36" spans="1:6" x14ac:dyDescent="0.25">
      <c r="A36" s="97" t="s">
        <v>30</v>
      </c>
      <c r="B36" s="150"/>
      <c r="C36" s="150"/>
      <c r="D36" s="101" t="s">
        <v>81</v>
      </c>
      <c r="E36" s="150"/>
      <c r="F36" s="150"/>
    </row>
    <row r="37" spans="1:6" x14ac:dyDescent="0.25">
      <c r="A37" s="95" t="s">
        <v>31</v>
      </c>
      <c r="B37" s="149">
        <v>0</v>
      </c>
      <c r="C37" s="149">
        <v>0</v>
      </c>
      <c r="D37" s="101" t="s">
        <v>82</v>
      </c>
      <c r="E37" s="150"/>
      <c r="F37" s="150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149" t="s">
        <v>3303</v>
      </c>
      <c r="C39" s="149" t="s">
        <v>3303</v>
      </c>
      <c r="D39" s="101" t="s">
        <v>84</v>
      </c>
      <c r="E39" s="149">
        <v>0</v>
      </c>
      <c r="F39" s="149">
        <v>0</v>
      </c>
    </row>
    <row r="40" spans="1:6" x14ac:dyDescent="0.25">
      <c r="A40" s="97" t="s">
        <v>33</v>
      </c>
      <c r="B40" s="149" t="s">
        <v>3303</v>
      </c>
      <c r="C40" s="149" t="s">
        <v>3303</v>
      </c>
      <c r="D40" s="101" t="s">
        <v>85</v>
      </c>
      <c r="E40" s="149">
        <v>0</v>
      </c>
      <c r="F40" s="149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149">
        <v>0</v>
      </c>
      <c r="F41" s="149">
        <v>0</v>
      </c>
    </row>
    <row r="42" spans="1:6" x14ac:dyDescent="0.25">
      <c r="A42" s="97" t="s">
        <v>35</v>
      </c>
      <c r="B42" s="150"/>
      <c r="C42" s="15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150"/>
      <c r="C43" s="150"/>
      <c r="D43" s="101" t="s">
        <v>88</v>
      </c>
      <c r="E43" s="149">
        <v>0</v>
      </c>
      <c r="F43" s="149">
        <v>0</v>
      </c>
    </row>
    <row r="44" spans="1:6" x14ac:dyDescent="0.25">
      <c r="A44" s="97" t="s">
        <v>37</v>
      </c>
      <c r="B44" s="150"/>
      <c r="C44" s="150"/>
      <c r="D44" s="101" t="s">
        <v>89</v>
      </c>
      <c r="E44" s="149">
        <v>0</v>
      </c>
      <c r="F44" s="149">
        <v>0</v>
      </c>
    </row>
    <row r="45" spans="1:6" x14ac:dyDescent="0.25">
      <c r="A45" s="97" t="s">
        <v>38</v>
      </c>
      <c r="B45" s="150"/>
      <c r="C45" s="150"/>
      <c r="D45" s="101" t="s">
        <v>90</v>
      </c>
      <c r="E45" s="149">
        <v>0</v>
      </c>
      <c r="F45" s="149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32413335.950000003</v>
      </c>
      <c r="C47" s="61">
        <f>C9+C17+C25+C31+C38+C41</f>
        <v>37042285.420000009</v>
      </c>
      <c r="D47" s="99" t="s">
        <v>91</v>
      </c>
      <c r="E47" s="61">
        <f>E9+E19+E23+E26+E27+E31+E38+E42</f>
        <v>5229068.4700000007</v>
      </c>
      <c r="F47" s="61">
        <f>F9+F19+F23+F26+F27+F31+F38+F42</f>
        <v>3427953.77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149">
        <v>0</v>
      </c>
      <c r="C50" s="149" t="s">
        <v>3303</v>
      </c>
      <c r="D50" s="100" t="s">
        <v>93</v>
      </c>
      <c r="E50" s="149">
        <v>0</v>
      </c>
      <c r="F50" s="149">
        <v>0</v>
      </c>
    </row>
    <row r="51" spans="1:6" x14ac:dyDescent="0.25">
      <c r="A51" s="95" t="s">
        <v>42</v>
      </c>
      <c r="B51" s="149">
        <v>0</v>
      </c>
      <c r="C51" s="149" t="s">
        <v>3303</v>
      </c>
      <c r="D51" s="100" t="s">
        <v>94</v>
      </c>
      <c r="E51" s="149">
        <v>0</v>
      </c>
      <c r="F51" s="149">
        <v>0</v>
      </c>
    </row>
    <row r="52" spans="1:6" x14ac:dyDescent="0.25">
      <c r="A52" s="95" t="s">
        <v>43</v>
      </c>
      <c r="B52" s="149">
        <v>94687621.069999993</v>
      </c>
      <c r="C52" s="149">
        <v>90246554.680000007</v>
      </c>
      <c r="D52" s="100" t="s">
        <v>95</v>
      </c>
      <c r="E52" s="149">
        <v>0</v>
      </c>
      <c r="F52" s="149">
        <v>0</v>
      </c>
    </row>
    <row r="53" spans="1:6" x14ac:dyDescent="0.25">
      <c r="A53" s="95" t="s">
        <v>44</v>
      </c>
      <c r="B53" s="149">
        <v>1941441.6</v>
      </c>
      <c r="C53" s="149">
        <v>1489779.6</v>
      </c>
      <c r="D53" s="100" t="s">
        <v>96</v>
      </c>
      <c r="E53" s="149">
        <v>22949452.789999999</v>
      </c>
      <c r="F53" s="149">
        <v>28196071.280000001</v>
      </c>
    </row>
    <row r="54" spans="1:6" x14ac:dyDescent="0.25">
      <c r="A54" s="95" t="s">
        <v>45</v>
      </c>
      <c r="B54" s="149">
        <v>280303.8</v>
      </c>
      <c r="C54" s="149">
        <v>280303.8</v>
      </c>
      <c r="D54" s="100" t="s">
        <v>97</v>
      </c>
      <c r="E54" s="149">
        <v>0</v>
      </c>
      <c r="F54" s="149">
        <v>0</v>
      </c>
    </row>
    <row r="55" spans="1:6" x14ac:dyDescent="0.25">
      <c r="A55" s="95" t="s">
        <v>46</v>
      </c>
      <c r="B55" s="149">
        <v>-451751.36</v>
      </c>
      <c r="C55" s="149">
        <v>-328659.94</v>
      </c>
      <c r="D55" s="37" t="s">
        <v>98</v>
      </c>
      <c r="E55" s="149">
        <v>0</v>
      </c>
      <c r="F55" s="149">
        <v>0</v>
      </c>
    </row>
    <row r="56" spans="1:6" x14ac:dyDescent="0.25">
      <c r="A56" s="95" t="s">
        <v>47</v>
      </c>
      <c r="B56" s="149">
        <v>0</v>
      </c>
      <c r="C56" s="149" t="s">
        <v>3303</v>
      </c>
      <c r="D56" s="54"/>
      <c r="E56" s="54"/>
      <c r="F56" s="54"/>
    </row>
    <row r="57" spans="1:6" x14ac:dyDescent="0.25">
      <c r="A57" s="95" t="s">
        <v>48</v>
      </c>
      <c r="B57" s="149">
        <v>0</v>
      </c>
      <c r="C57" s="149" t="s">
        <v>3303</v>
      </c>
      <c r="D57" s="99" t="s">
        <v>99</v>
      </c>
      <c r="E57" s="61">
        <f>SUM(E50:E55)</f>
        <v>22949452.789999999</v>
      </c>
      <c r="F57" s="61">
        <f>SUM(F50:F55)</f>
        <v>28196071.280000001</v>
      </c>
    </row>
    <row r="58" spans="1:6" x14ac:dyDescent="0.25">
      <c r="A58" s="95" t="s">
        <v>49</v>
      </c>
      <c r="B58" s="149">
        <v>0</v>
      </c>
      <c r="C58" s="149" t="s">
        <v>3303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28178521.259999998</v>
      </c>
      <c r="F59" s="61">
        <f>F47+F57</f>
        <v>31624025.050000001</v>
      </c>
    </row>
    <row r="60" spans="1:6" x14ac:dyDescent="0.25">
      <c r="A60" s="55" t="s">
        <v>50</v>
      </c>
      <c r="B60" s="61">
        <f>SUM(B50:B58)</f>
        <v>96457615.109999985</v>
      </c>
      <c r="C60" s="61">
        <f>SUM(C50:C58)</f>
        <v>91687978.140000001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128870951.05999999</v>
      </c>
      <c r="C62" s="61">
        <f>SUM(C47+C60)</f>
        <v>128730263.56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0</v>
      </c>
      <c r="F63" s="77">
        <f>SUM(F64:F66)</f>
        <v>0</v>
      </c>
    </row>
    <row r="64" spans="1:6" x14ac:dyDescent="0.25">
      <c r="A64" s="54"/>
      <c r="B64" s="54"/>
      <c r="C64" s="54"/>
      <c r="D64" s="103" t="s">
        <v>103</v>
      </c>
      <c r="E64" s="149">
        <v>0</v>
      </c>
      <c r="F64" s="149">
        <v>0</v>
      </c>
    </row>
    <row r="65" spans="1:6" x14ac:dyDescent="0.25">
      <c r="A65" s="54"/>
      <c r="B65" s="54"/>
      <c r="C65" s="54"/>
      <c r="D65" s="41" t="s">
        <v>104</v>
      </c>
      <c r="E65" s="149">
        <v>0</v>
      </c>
      <c r="F65" s="149">
        <v>0</v>
      </c>
    </row>
    <row r="66" spans="1:6" x14ac:dyDescent="0.25">
      <c r="A66" s="54"/>
      <c r="B66" s="54"/>
      <c r="C66" s="54"/>
      <c r="D66" s="103" t="s">
        <v>105</v>
      </c>
      <c r="E66" s="149">
        <v>0</v>
      </c>
      <c r="F66" s="149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100692429.8</v>
      </c>
      <c r="F68" s="77">
        <f>SUM(F69:F73)</f>
        <v>97106238.50999999</v>
      </c>
    </row>
    <row r="69" spans="1:6" x14ac:dyDescent="0.25">
      <c r="A69" s="12"/>
      <c r="B69" s="54"/>
      <c r="C69" s="54"/>
      <c r="D69" s="103" t="s">
        <v>107</v>
      </c>
      <c r="E69" s="149">
        <v>3663838.35</v>
      </c>
      <c r="F69" s="149">
        <v>6112989.9299999997</v>
      </c>
    </row>
    <row r="70" spans="1:6" x14ac:dyDescent="0.25">
      <c r="A70" s="12"/>
      <c r="B70" s="54"/>
      <c r="C70" s="54"/>
      <c r="D70" s="103" t="s">
        <v>108</v>
      </c>
      <c r="E70" s="149">
        <v>97028591.450000003</v>
      </c>
      <c r="F70" s="149">
        <v>90993248.579999998</v>
      </c>
    </row>
    <row r="71" spans="1:6" x14ac:dyDescent="0.25">
      <c r="A71" s="12"/>
      <c r="B71" s="54"/>
      <c r="C71" s="54"/>
      <c r="D71" s="103" t="s">
        <v>109</v>
      </c>
      <c r="E71" s="149" t="s">
        <v>3303</v>
      </c>
      <c r="F71" s="149" t="s">
        <v>3303</v>
      </c>
    </row>
    <row r="72" spans="1:6" x14ac:dyDescent="0.25">
      <c r="A72" s="12"/>
      <c r="B72" s="54"/>
      <c r="C72" s="54"/>
      <c r="D72" s="103" t="s">
        <v>110</v>
      </c>
      <c r="E72" s="149" t="s">
        <v>3303</v>
      </c>
      <c r="F72" s="149" t="s">
        <v>3303</v>
      </c>
    </row>
    <row r="73" spans="1:6" x14ac:dyDescent="0.25">
      <c r="A73" s="12"/>
      <c r="B73" s="54"/>
      <c r="C73" s="54"/>
      <c r="D73" s="103" t="s">
        <v>111</v>
      </c>
      <c r="E73" s="149" t="s">
        <v>3303</v>
      </c>
      <c r="F73" s="149" t="s">
        <v>3303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149">
        <v>0</v>
      </c>
      <c r="F76" s="149">
        <v>0</v>
      </c>
    </row>
    <row r="77" spans="1:6" x14ac:dyDescent="0.25">
      <c r="A77" s="12"/>
      <c r="B77" s="54"/>
      <c r="C77" s="54"/>
      <c r="D77" s="100" t="s">
        <v>114</v>
      </c>
      <c r="E77" s="149">
        <v>0</v>
      </c>
      <c r="F77" s="149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100692429.8</v>
      </c>
      <c r="F79" s="61">
        <f>F63+F68+F75</f>
        <v>97106238.50999999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128870951.06</v>
      </c>
      <c r="F81" s="61">
        <f>F59+F79</f>
        <v>128730263.55999999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7695571.7399999993</v>
      </c>
      <c r="Q4" s="18">
        <f>'Formato 1'!C9</f>
        <v>7117574.4800000004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368345.29</v>
      </c>
      <c r="Q5" s="18">
        <f>'Formato 1'!C10</f>
        <v>368345.29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-6903948.4000000004</v>
      </c>
      <c r="Q7" s="18">
        <f>'Formato 1'!C12</f>
        <v>2145781.2799999998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14231174.85</v>
      </c>
      <c r="Q8" s="18">
        <f>'Formato 1'!C13</f>
        <v>4603447.91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24175376.240000002</v>
      </c>
      <c r="Q12" s="18">
        <f>'Formato 1'!C17</f>
        <v>29260843.730000004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17263134.949999999</v>
      </c>
      <c r="Q14" s="18">
        <f>'Formato 1'!C19</f>
        <v>20859671.100000001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-27.13</v>
      </c>
      <c r="Q15" s="18">
        <f>'Formato 1'!C20</f>
        <v>-27.13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 t="str">
        <f>'Formato 1'!C21</f>
        <v xml:space="preserve"> -   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6912268.4199999999</v>
      </c>
      <c r="Q19" s="18">
        <f>'Formato 1'!C24</f>
        <v>8401199.7599999998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527730.35</v>
      </c>
      <c r="Q20" s="18">
        <f>'Formato 1'!C25</f>
        <v>649209.59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527730.35</v>
      </c>
      <c r="Q24" s="18">
        <f>'Formato 1'!C29</f>
        <v>649209.59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14657.62</v>
      </c>
      <c r="Q26" s="18">
        <f>'Formato 1'!C31</f>
        <v>14657.62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14657.62</v>
      </c>
      <c r="Q27" s="18">
        <f>'Formato 1'!C32</f>
        <v>14657.62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 t="str">
        <f>'Formato 1'!B39</f>
        <v xml:space="preserve"> -   </v>
      </c>
      <c r="Q35" s="18" t="str">
        <f>'Formato 1'!C39</f>
        <v xml:space="preserve"> -   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 t="str">
        <f>'Formato 1'!B40</f>
        <v xml:space="preserve"> -   </v>
      </c>
      <c r="Q36" s="18" t="str">
        <f>'Formato 1'!C40</f>
        <v xml:space="preserve"> -   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32413335.950000003</v>
      </c>
      <c r="Q42" s="18">
        <f>'Formato 1'!C47</f>
        <v>37042285.420000009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 t="str">
        <f>'Formato 1'!C50</f>
        <v xml:space="preserve"> -   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 t="str">
        <f>'Formato 1'!C51</f>
        <v xml:space="preserve"> -   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94687621.069999993</v>
      </c>
      <c r="Q46">
        <f>'Formato 1'!C52</f>
        <v>90246554.680000007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1941441.6</v>
      </c>
      <c r="Q47">
        <f>'Formato 1'!C53</f>
        <v>1489779.6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280303.8</v>
      </c>
      <c r="Q48">
        <f>'Formato 1'!C54</f>
        <v>280303.8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-451751.36</v>
      </c>
      <c r="Q49">
        <f>'Formato 1'!C55</f>
        <v>-328659.94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 t="str">
        <f>'Formato 1'!C56</f>
        <v xml:space="preserve"> -   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 t="str">
        <f>'Formato 1'!C57</f>
        <v xml:space="preserve"> -   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 t="str">
        <f>'Formato 1'!C58</f>
        <v xml:space="preserve"> -   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96457615.109999985</v>
      </c>
      <c r="Q53">
        <f>'Formato 1'!C60</f>
        <v>91687978.140000001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128870951.05999999</v>
      </c>
      <c r="Q54">
        <f>'Formato 1'!C62</f>
        <v>128730263.56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5229068.4700000007</v>
      </c>
      <c r="Q57">
        <f>'Formato 1'!F9</f>
        <v>3427953.77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116896.95</v>
      </c>
      <c r="Q58">
        <f>'Formato 1'!F10</f>
        <v>70058.83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236863.33</v>
      </c>
      <c r="Q59">
        <f>'Formato 1'!F11</f>
        <v>319007.92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4448964.88</v>
      </c>
      <c r="Q60">
        <f>'Formato 1'!F12</f>
        <v>2654218.4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196604.11</v>
      </c>
      <c r="Q64">
        <f>'Formato 1'!F16</f>
        <v>154929.42000000001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229739.2</v>
      </c>
      <c r="Q66">
        <f>'Formato 1'!F18</f>
        <v>229739.2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5229068.4700000007</v>
      </c>
      <c r="Q95">
        <f>'Formato 1'!F47</f>
        <v>3427953.77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22949452.789999999</v>
      </c>
      <c r="Q100">
        <f>'Formato 1'!F53</f>
        <v>28196071.280000001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22949452.789999999</v>
      </c>
      <c r="Q103">
        <f>'Formato 1'!F57</f>
        <v>28196071.280000001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28178521.259999998</v>
      </c>
      <c r="Q104">
        <f>'Formato 1'!F59</f>
        <v>31624025.050000001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0</v>
      </c>
      <c r="Q106">
        <f>'Formato 1'!F63</f>
        <v>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100692429.8</v>
      </c>
      <c r="Q110">
        <f>'Formato 1'!F68</f>
        <v>97106238.50999999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3663838.35</v>
      </c>
      <c r="Q111">
        <f>'Formato 1'!F69</f>
        <v>6112989.9299999997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97028591.450000003</v>
      </c>
      <c r="Q112">
        <f>'Formato 1'!F70</f>
        <v>90993248.579999998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 t="str">
        <f>'Formato 1'!E71</f>
        <v xml:space="preserve"> -   </v>
      </c>
      <c r="Q113" t="str">
        <f>'Formato 1'!F71</f>
        <v xml:space="preserve"> -   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 t="str">
        <f>'Formato 1'!E72</f>
        <v xml:space="preserve"> -   </v>
      </c>
      <c r="Q114" t="str">
        <f>'Formato 1'!F72</f>
        <v xml:space="preserve"> -   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 t="str">
        <f>'Formato 1'!E73</f>
        <v xml:space="preserve"> -   </v>
      </c>
      <c r="Q115" t="str">
        <f>'Formato 1'!F73</f>
        <v xml:space="preserve"> -   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100692429.8</v>
      </c>
      <c r="Q119">
        <f>'Formato 1'!F79</f>
        <v>97106238.50999999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128870951.06</v>
      </c>
      <c r="Q120">
        <f>'Formato 1'!F81</f>
        <v>128730263.55999999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topLeftCell="A31" zoomScale="90" zoomScaleNormal="90" workbookViewId="0">
      <selection activeCell="H41" sqref="H41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80" t="s">
        <v>544</v>
      </c>
      <c r="B1" s="180"/>
      <c r="C1" s="180"/>
      <c r="D1" s="180"/>
      <c r="E1" s="180"/>
      <c r="F1" s="180"/>
      <c r="G1" s="180"/>
      <c r="H1" s="180"/>
    </row>
    <row r="2" spans="1:9" ht="14.25" x14ac:dyDescent="0.45">
      <c r="A2" s="166" t="str">
        <f>ENTE_PUBLICO_A</f>
        <v>INSTITUTO MUNICIPAL DE VIVIENDA DE DOLORES HIDALGO, CIN, GTO., Gobierno del Estado de Guanajuato (a)</v>
      </c>
      <c r="B2" s="167"/>
      <c r="C2" s="167"/>
      <c r="D2" s="167"/>
      <c r="E2" s="167"/>
      <c r="F2" s="167"/>
      <c r="G2" s="167"/>
      <c r="H2" s="168"/>
    </row>
    <row r="3" spans="1:9" x14ac:dyDescent="0.25">
      <c r="A3" s="169" t="s">
        <v>120</v>
      </c>
      <c r="B3" s="170"/>
      <c r="C3" s="170"/>
      <c r="D3" s="170"/>
      <c r="E3" s="170"/>
      <c r="F3" s="170"/>
      <c r="G3" s="170"/>
      <c r="H3" s="171"/>
    </row>
    <row r="4" spans="1:9" ht="14.25" x14ac:dyDescent="0.45">
      <c r="A4" s="172" t="str">
        <f>PERIODO_INFORME</f>
        <v>Al 31 de diciembre de 2019 y al 31 de diciembre de 2020 (b)</v>
      </c>
      <c r="B4" s="173"/>
      <c r="C4" s="173"/>
      <c r="D4" s="173"/>
      <c r="E4" s="173"/>
      <c r="F4" s="173"/>
      <c r="G4" s="173"/>
      <c r="H4" s="174"/>
    </row>
    <row r="5" spans="1:9" ht="14.25" x14ac:dyDescent="0.45">
      <c r="A5" s="175" t="s">
        <v>118</v>
      </c>
      <c r="B5" s="176"/>
      <c r="C5" s="176"/>
      <c r="D5" s="176"/>
      <c r="E5" s="176"/>
      <c r="F5" s="176"/>
      <c r="G5" s="176"/>
      <c r="H5" s="177"/>
    </row>
    <row r="6" spans="1:9" ht="45" x14ac:dyDescent="0.25">
      <c r="A6" s="104" t="s">
        <v>121</v>
      </c>
      <c r="B6" s="105" t="str">
        <f>ULTIMO_SALDO</f>
        <v>Saldo al 31 de diciembre de 2019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0</v>
      </c>
      <c r="C18" s="132"/>
      <c r="D18" s="132"/>
      <c r="E18" s="132"/>
      <c r="F18" s="61">
        <v>0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v>0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0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ht="14.25" x14ac:dyDescent="0.4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ht="14.25" x14ac:dyDescent="0.4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ht="14.25" x14ac:dyDescent="0.4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79" t="s">
        <v>3300</v>
      </c>
      <c r="B33" s="179"/>
      <c r="C33" s="179"/>
      <c r="D33" s="179"/>
      <c r="E33" s="179"/>
      <c r="F33" s="179"/>
      <c r="G33" s="179"/>
      <c r="H33" s="179"/>
    </row>
    <row r="34" spans="1:8" ht="12" customHeight="1" x14ac:dyDescent="0.25">
      <c r="A34" s="179"/>
      <c r="B34" s="179"/>
      <c r="C34" s="179"/>
      <c r="D34" s="179"/>
      <c r="E34" s="179"/>
      <c r="F34" s="179"/>
      <c r="G34" s="179"/>
      <c r="H34" s="179"/>
    </row>
    <row r="35" spans="1:8" ht="12" customHeight="1" x14ac:dyDescent="0.25">
      <c r="A35" s="179"/>
      <c r="B35" s="179"/>
      <c r="C35" s="179"/>
      <c r="D35" s="179"/>
      <c r="E35" s="179"/>
      <c r="F35" s="179"/>
      <c r="G35" s="179"/>
      <c r="H35" s="179"/>
    </row>
    <row r="36" spans="1:8" ht="12" customHeight="1" x14ac:dyDescent="0.25">
      <c r="A36" s="179"/>
      <c r="B36" s="179"/>
      <c r="C36" s="179"/>
      <c r="D36" s="179"/>
      <c r="E36" s="179"/>
      <c r="F36" s="179"/>
      <c r="G36" s="179"/>
      <c r="H36" s="179"/>
    </row>
    <row r="37" spans="1:8" ht="12" customHeight="1" x14ac:dyDescent="0.25">
      <c r="A37" s="179"/>
      <c r="B37" s="179"/>
      <c r="C37" s="179"/>
      <c r="D37" s="179"/>
      <c r="E37" s="179"/>
      <c r="F37" s="179"/>
      <c r="G37" s="179"/>
      <c r="H37" s="179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/>
      <c r="C42" s="60"/>
      <c r="D42" s="60"/>
      <c r="E42" s="60"/>
      <c r="F42" s="60"/>
    </row>
    <row r="43" spans="1:8" s="24" customFormat="1" x14ac:dyDescent="0.25">
      <c r="A43" s="109" t="s">
        <v>449</v>
      </c>
      <c r="B43" s="60"/>
      <c r="C43" s="60"/>
      <c r="D43" s="60"/>
      <c r="E43" s="60"/>
      <c r="F43" s="60"/>
    </row>
    <row r="44" spans="1:8" s="24" customFormat="1" x14ac:dyDescent="0.25">
      <c r="A44" s="109" t="s">
        <v>450</v>
      </c>
      <c r="B44" s="60"/>
      <c r="C44" s="60"/>
      <c r="D44" s="60"/>
      <c r="E44" s="60"/>
      <c r="F44" s="60"/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0</v>
      </c>
      <c r="Q12" s="18"/>
      <c r="R12" s="18"/>
      <c r="S12" s="18"/>
      <c r="T12" s="18">
        <f>'Formato 2'!F18</f>
        <v>0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0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topLeftCell="B1" zoomScale="90" zoomScaleNormal="90" workbookViewId="0">
      <selection activeCell="K15" sqref="K15:K18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78" t="s">
        <v>543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11"/>
    </row>
    <row r="2" spans="1:12" ht="14.25" x14ac:dyDescent="0.45">
      <c r="A2" s="166" t="str">
        <f>ENTE_PUBLICO_A</f>
        <v>INSTITUTO MUNICIPAL DE VIVIENDA DE DOLORES HIDALGO, CIN, GTO., Gobierno del Estado de Guanajuato (a)</v>
      </c>
      <c r="B2" s="167"/>
      <c r="C2" s="167"/>
      <c r="D2" s="167"/>
      <c r="E2" s="167"/>
      <c r="F2" s="167"/>
      <c r="G2" s="167"/>
      <c r="H2" s="167"/>
      <c r="I2" s="167"/>
      <c r="J2" s="167"/>
      <c r="K2" s="168"/>
    </row>
    <row r="3" spans="1:12" x14ac:dyDescent="0.25">
      <c r="A3" s="169" t="s">
        <v>146</v>
      </c>
      <c r="B3" s="170"/>
      <c r="C3" s="170"/>
      <c r="D3" s="170"/>
      <c r="E3" s="170"/>
      <c r="F3" s="170"/>
      <c r="G3" s="170"/>
      <c r="H3" s="170"/>
      <c r="I3" s="170"/>
      <c r="J3" s="170"/>
      <c r="K3" s="171"/>
    </row>
    <row r="4" spans="1:12" ht="14.25" x14ac:dyDescent="0.45">
      <c r="A4" s="172" t="str">
        <f>TRIMESTRE</f>
        <v>Del 1 de enero al 31 de diciembre de 2020 (b)</v>
      </c>
      <c r="B4" s="173"/>
      <c r="C4" s="173"/>
      <c r="D4" s="173"/>
      <c r="E4" s="173"/>
      <c r="F4" s="173"/>
      <c r="G4" s="173"/>
      <c r="H4" s="173"/>
      <c r="I4" s="173"/>
      <c r="J4" s="173"/>
      <c r="K4" s="174"/>
    </row>
    <row r="5" spans="1:12" ht="14.25" x14ac:dyDescent="0.45">
      <c r="A5" s="169" t="s">
        <v>118</v>
      </c>
      <c r="B5" s="170"/>
      <c r="C5" s="170"/>
      <c r="D5" s="170"/>
      <c r="E5" s="170"/>
      <c r="F5" s="170"/>
      <c r="G5" s="170"/>
      <c r="H5" s="170"/>
      <c r="I5" s="170"/>
      <c r="J5" s="170"/>
      <c r="K5" s="171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2020 (k)</v>
      </c>
      <c r="J6" s="131" t="str">
        <f>MONTO2</f>
        <v>Monto pagado de la inversión actualizado al 31 de diciembre de 2020 (l)</v>
      </c>
      <c r="K6" s="131" t="str">
        <f>SALDO_PENDIENTE</f>
        <v>Saldo pendiente por pagar de la inversión al 31 de diciembre de 2020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eulugc</cp:lastModifiedBy>
  <cp:lastPrinted>2017-02-04T00:56:20Z</cp:lastPrinted>
  <dcterms:created xsi:type="dcterms:W3CDTF">2017-01-19T17:59:06Z</dcterms:created>
  <dcterms:modified xsi:type="dcterms:W3CDTF">2021-02-15T20:50:50Z</dcterms:modified>
</cp:coreProperties>
</file>